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gif" ContentType="image/gi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00" yWindow="-15" windowWidth="12045" windowHeight="10245" tabRatio="902" activeTab="6"/>
  </bookViews>
  <sheets>
    <sheet name="Race-Class Combos" sheetId="1" r:id="rId1"/>
    <sheet name="Race Bonus" sheetId="3" r:id="rId2"/>
    <sheet name="Class Details" sheetId="2" r:id="rId3"/>
    <sheet name="Class Stats" sheetId="12" r:id="rId4"/>
    <sheet name="Starting Force Stats" sheetId="14" r:id="rId5"/>
    <sheet name="Lvl 20 Curves" sheetId="15" r:id="rId6"/>
    <sheet name="Machine (T1)" sheetId="16" r:id="rId7"/>
    <sheet name="Lvl 30 Curves" sheetId="17" r:id="rId8"/>
    <sheet name="Machine (T2)" sheetId="18" r:id="rId9"/>
    <sheet name="Machine (T3)" sheetId="19" r:id="rId10"/>
    <sheet name="Spell Lists" sheetId="13" r:id="rId11"/>
    <sheet name="Weapons" sheetId="6" r:id="rId12"/>
    <sheet name="Extra Weapons" sheetId="7" r:id="rId13"/>
    <sheet name="Extra" sheetId="5" r:id="rId14"/>
  </sheets>
  <definedNames>
    <definedName name="_xlnm._FilterDatabase" localSheetId="1" hidden="1">'Race Bonus'!$A$1:$U$21</definedName>
    <definedName name="Die_Value" localSheetId="6">'Machine (T1)'!$E$2</definedName>
  </definedNames>
  <calcPr calcId="125725"/>
</workbook>
</file>

<file path=xl/calcChain.xml><?xml version="1.0" encoding="utf-8"?>
<calcChain xmlns="http://schemas.openxmlformats.org/spreadsheetml/2006/main">
  <c r="G14" i="14"/>
  <c r="N13" l="1"/>
  <c r="N14"/>
  <c r="N15"/>
  <c r="F31" i="19" l="1"/>
  <c r="F30"/>
  <c r="F29"/>
  <c r="F28"/>
  <c r="F27"/>
  <c r="F26"/>
  <c r="F25"/>
  <c r="F24"/>
  <c r="F23"/>
  <c r="F22"/>
  <c r="F21"/>
  <c r="F20"/>
  <c r="F19"/>
  <c r="F18"/>
  <c r="F17"/>
  <c r="F16"/>
  <c r="F15"/>
  <c r="F14"/>
  <c r="F13"/>
  <c r="F12"/>
  <c r="F11"/>
  <c r="F10"/>
  <c r="F9"/>
  <c r="F8"/>
  <c r="F7"/>
  <c r="F6"/>
  <c r="F5"/>
  <c r="F4"/>
  <c r="F3"/>
  <c r="Q2"/>
  <c r="D30" s="1"/>
  <c r="G30" s="1"/>
  <c r="F2"/>
  <c r="C2"/>
  <c r="F31" i="18"/>
  <c r="F30"/>
  <c r="F29"/>
  <c r="F28"/>
  <c r="F27"/>
  <c r="F26"/>
  <c r="F25"/>
  <c r="F24"/>
  <c r="F23"/>
  <c r="F22"/>
  <c r="F21"/>
  <c r="F20"/>
  <c r="F19"/>
  <c r="F18"/>
  <c r="F17"/>
  <c r="F16"/>
  <c r="F15"/>
  <c r="F14"/>
  <c r="F13"/>
  <c r="F12"/>
  <c r="F11"/>
  <c r="F10"/>
  <c r="F9"/>
  <c r="F8"/>
  <c r="F7"/>
  <c r="F6"/>
  <c r="F5"/>
  <c r="F4"/>
  <c r="F3"/>
  <c r="Q2"/>
  <c r="D31" s="1"/>
  <c r="G31" s="1"/>
  <c r="F2"/>
  <c r="C2"/>
  <c r="H2" s="1"/>
  <c r="Q31" i="17"/>
  <c r="R31" s="1"/>
  <c r="N31"/>
  <c r="I31"/>
  <c r="J31" s="1"/>
  <c r="E31"/>
  <c r="F31" s="1"/>
  <c r="B31"/>
  <c r="A31"/>
  <c r="Q30"/>
  <c r="R30" s="1"/>
  <c r="M30"/>
  <c r="N30" s="1"/>
  <c r="I30"/>
  <c r="J30" s="1"/>
  <c r="E30"/>
  <c r="F30" s="1"/>
  <c r="B30"/>
  <c r="A30"/>
  <c r="R29"/>
  <c r="M29"/>
  <c r="N29" s="1"/>
  <c r="J29"/>
  <c r="I29"/>
  <c r="F29"/>
  <c r="B29"/>
  <c r="A29"/>
  <c r="Q28"/>
  <c r="R28" s="1"/>
  <c r="M28"/>
  <c r="N28" s="1"/>
  <c r="I28"/>
  <c r="J28" s="1"/>
  <c r="F28"/>
  <c r="A28"/>
  <c r="B28" s="1"/>
  <c r="Q27"/>
  <c r="R27" s="1"/>
  <c r="N27"/>
  <c r="M27"/>
  <c r="J27"/>
  <c r="E27"/>
  <c r="F27" s="1"/>
  <c r="B27"/>
  <c r="A27"/>
  <c r="Q26"/>
  <c r="R26" s="1"/>
  <c r="N26"/>
  <c r="I26"/>
  <c r="J26" s="1"/>
  <c r="F26"/>
  <c r="E26"/>
  <c r="A26"/>
  <c r="B26" s="1"/>
  <c r="R25"/>
  <c r="N25"/>
  <c r="I25"/>
  <c r="J25" s="1"/>
  <c r="E25"/>
  <c r="F25" s="1"/>
  <c r="B25"/>
  <c r="A25"/>
  <c r="R24"/>
  <c r="N24"/>
  <c r="I24"/>
  <c r="J24" s="1"/>
  <c r="E24"/>
  <c r="F24" s="1"/>
  <c r="A24"/>
  <c r="B24" s="1"/>
  <c r="R23"/>
  <c r="N23"/>
  <c r="I23"/>
  <c r="J23" s="1"/>
  <c r="E23"/>
  <c r="F23" s="1"/>
  <c r="A23"/>
  <c r="B23" s="1"/>
  <c r="R22"/>
  <c r="N22"/>
  <c r="J22"/>
  <c r="I22"/>
  <c r="E22"/>
  <c r="F22" s="1"/>
  <c r="A22"/>
  <c r="B22" s="1"/>
  <c r="R21"/>
  <c r="N21"/>
  <c r="I21"/>
  <c r="J21" s="1"/>
  <c r="F21"/>
  <c r="E21"/>
  <c r="A21"/>
  <c r="B21" s="1"/>
  <c r="R20"/>
  <c r="N20"/>
  <c r="I20"/>
  <c r="J20" s="1"/>
  <c r="E20"/>
  <c r="F20" s="1"/>
  <c r="B20"/>
  <c r="A20"/>
  <c r="R19"/>
  <c r="N19"/>
  <c r="J19"/>
  <c r="I19"/>
  <c r="E19"/>
  <c r="F19" s="1"/>
  <c r="A19"/>
  <c r="B19" s="1"/>
  <c r="R18"/>
  <c r="N18"/>
  <c r="I18"/>
  <c r="J18" s="1"/>
  <c r="F18"/>
  <c r="E18"/>
  <c r="A18"/>
  <c r="B18" s="1"/>
  <c r="R17"/>
  <c r="N17"/>
  <c r="I17"/>
  <c r="J17" s="1"/>
  <c r="E17"/>
  <c r="F17" s="1"/>
  <c r="B17"/>
  <c r="A17"/>
  <c r="R16"/>
  <c r="N16"/>
  <c r="I16"/>
  <c r="J16" s="1"/>
  <c r="E16"/>
  <c r="F16" s="1"/>
  <c r="A16"/>
  <c r="B16" s="1"/>
  <c r="R15"/>
  <c r="N15"/>
  <c r="I15"/>
  <c r="J15" s="1"/>
  <c r="E15"/>
  <c r="F15" s="1"/>
  <c r="A15"/>
  <c r="B15" s="1"/>
  <c r="R14"/>
  <c r="N14"/>
  <c r="J14"/>
  <c r="I14"/>
  <c r="E14"/>
  <c r="F14" s="1"/>
  <c r="A14"/>
  <c r="B14" s="1"/>
  <c r="R13"/>
  <c r="N13"/>
  <c r="I13"/>
  <c r="J13" s="1"/>
  <c r="F13"/>
  <c r="E13"/>
  <c r="A13"/>
  <c r="B13" s="1"/>
  <c r="R12"/>
  <c r="N12"/>
  <c r="I12"/>
  <c r="J12" s="1"/>
  <c r="E12"/>
  <c r="F12" s="1"/>
  <c r="B12"/>
  <c r="A12"/>
  <c r="R11"/>
  <c r="N11"/>
  <c r="J11"/>
  <c r="I11"/>
  <c r="E11"/>
  <c r="F11" s="1"/>
  <c r="A11"/>
  <c r="B11" s="1"/>
  <c r="R10"/>
  <c r="N10"/>
  <c r="I10"/>
  <c r="J10" s="1"/>
  <c r="F10"/>
  <c r="E10"/>
  <c r="A10"/>
  <c r="B10" s="1"/>
  <c r="R9"/>
  <c r="N9"/>
  <c r="I9"/>
  <c r="J9" s="1"/>
  <c r="E9"/>
  <c r="F9" s="1"/>
  <c r="B9"/>
  <c r="A9"/>
  <c r="R8"/>
  <c r="N8"/>
  <c r="I8"/>
  <c r="J8" s="1"/>
  <c r="E8"/>
  <c r="F8" s="1"/>
  <c r="A8"/>
  <c r="B8" s="1"/>
  <c r="R7"/>
  <c r="N7"/>
  <c r="I7"/>
  <c r="J7" s="1"/>
  <c r="E7"/>
  <c r="F7" s="1"/>
  <c r="A7"/>
  <c r="B7" s="1"/>
  <c r="R6"/>
  <c r="N6"/>
  <c r="J6"/>
  <c r="I6"/>
  <c r="E6"/>
  <c r="F6" s="1"/>
  <c r="A6"/>
  <c r="B6" s="1"/>
  <c r="R5"/>
  <c r="N5"/>
  <c r="I5"/>
  <c r="J5" s="1"/>
  <c r="F5"/>
  <c r="E5"/>
  <c r="A5"/>
  <c r="B5" s="1"/>
  <c r="R4"/>
  <c r="N4"/>
  <c r="I4"/>
  <c r="J4" s="1"/>
  <c r="E4"/>
  <c r="F4" s="1"/>
  <c r="B4"/>
  <c r="A4"/>
  <c r="R3"/>
  <c r="S3" s="1"/>
  <c r="O3"/>
  <c r="O4" s="1"/>
  <c r="O5" s="1"/>
  <c r="O6" s="1"/>
  <c r="O7" s="1"/>
  <c r="O8" s="1"/>
  <c r="O9" s="1"/>
  <c r="O10" s="1"/>
  <c r="O11" s="1"/>
  <c r="O12" s="1"/>
  <c r="O13" s="1"/>
  <c r="O14" s="1"/>
  <c r="O15" s="1"/>
  <c r="O16" s="1"/>
  <c r="O17" s="1"/>
  <c r="O18" s="1"/>
  <c r="O19" s="1"/>
  <c r="O20" s="1"/>
  <c r="O21" s="1"/>
  <c r="O22" s="1"/>
  <c r="O23" s="1"/>
  <c r="O24" s="1"/>
  <c r="O25" s="1"/>
  <c r="O26" s="1"/>
  <c r="O27" s="1"/>
  <c r="O28" s="1"/>
  <c r="O29" s="1"/>
  <c r="O30" s="1"/>
  <c r="O31" s="1"/>
  <c r="N3"/>
  <c r="I3"/>
  <c r="J3" s="1"/>
  <c r="K3" s="1"/>
  <c r="K4" s="1"/>
  <c r="E3"/>
  <c r="F3" s="1"/>
  <c r="G3" s="1"/>
  <c r="G4" s="1"/>
  <c r="G5" s="1"/>
  <c r="C3"/>
  <c r="C4" s="1"/>
  <c r="A3"/>
  <c r="B3" s="1"/>
  <c r="F31" i="16"/>
  <c r="F30"/>
  <c r="F29"/>
  <c r="F28"/>
  <c r="F27"/>
  <c r="F26"/>
  <c r="F25"/>
  <c r="F24"/>
  <c r="F23"/>
  <c r="F22"/>
  <c r="F21"/>
  <c r="F20"/>
  <c r="F19"/>
  <c r="F18"/>
  <c r="F17"/>
  <c r="F16"/>
  <c r="F15"/>
  <c r="F14"/>
  <c r="F13"/>
  <c r="F12"/>
  <c r="F11"/>
  <c r="F10"/>
  <c r="F9"/>
  <c r="F8"/>
  <c r="F7"/>
  <c r="F6"/>
  <c r="F5"/>
  <c r="F4"/>
  <c r="F3"/>
  <c r="D3"/>
  <c r="Q2"/>
  <c r="D22" s="1"/>
  <c r="F2"/>
  <c r="D2"/>
  <c r="C2"/>
  <c r="A20" i="15"/>
  <c r="A19"/>
  <c r="A18"/>
  <c r="A17"/>
  <c r="G16"/>
  <c r="A16"/>
  <c r="G15"/>
  <c r="A15"/>
  <c r="G14"/>
  <c r="A14"/>
  <c r="G13"/>
  <c r="A13"/>
  <c r="G12"/>
  <c r="A12"/>
  <c r="G11"/>
  <c r="A11"/>
  <c r="G10"/>
  <c r="D10"/>
  <c r="A10"/>
  <c r="G9"/>
  <c r="D9"/>
  <c r="A9"/>
  <c r="G8"/>
  <c r="D8"/>
  <c r="A8"/>
  <c r="G7"/>
  <c r="D7"/>
  <c r="A7"/>
  <c r="G6"/>
  <c r="D6"/>
  <c r="A6"/>
  <c r="G5"/>
  <c r="D5"/>
  <c r="A5"/>
  <c r="G4"/>
  <c r="D4"/>
  <c r="A4"/>
  <c r="G3"/>
  <c r="D3"/>
  <c r="A3"/>
  <c r="N2"/>
  <c r="N3" s="1"/>
  <c r="N4" s="1"/>
  <c r="N5" s="1"/>
  <c r="N6" s="1"/>
  <c r="N7" s="1"/>
  <c r="N8" s="1"/>
  <c r="N9" s="1"/>
  <c r="N10" s="1"/>
  <c r="N11" s="1"/>
  <c r="N12" s="1"/>
  <c r="N13" s="1"/>
  <c r="N14" s="1"/>
  <c r="N15" s="1"/>
  <c r="N16" s="1"/>
  <c r="N17" s="1"/>
  <c r="N18" s="1"/>
  <c r="N19" s="1"/>
  <c r="N20" s="1"/>
  <c r="K2"/>
  <c r="K3" s="1"/>
  <c r="K4" s="1"/>
  <c r="K5" s="1"/>
  <c r="K6" s="1"/>
  <c r="K7" s="1"/>
  <c r="K8" s="1"/>
  <c r="K9" s="1"/>
  <c r="K10" s="1"/>
  <c r="K11" s="1"/>
  <c r="K12" s="1"/>
  <c r="K13" s="1"/>
  <c r="K14" s="1"/>
  <c r="K15" s="1"/>
  <c r="K16" s="1"/>
  <c r="K17" s="1"/>
  <c r="K18" s="1"/>
  <c r="K19" s="1"/>
  <c r="K20" s="1"/>
  <c r="G2"/>
  <c r="H2" s="1"/>
  <c r="D2"/>
  <c r="E2" s="1"/>
  <c r="E3" s="1"/>
  <c r="E4" s="1"/>
  <c r="E5" s="1"/>
  <c r="E6" s="1"/>
  <c r="E7" s="1"/>
  <c r="E8" s="1"/>
  <c r="E9" s="1"/>
  <c r="E10" s="1"/>
  <c r="E11" s="1"/>
  <c r="E12" s="1"/>
  <c r="E13" s="1"/>
  <c r="E14" s="1"/>
  <c r="E15" s="1"/>
  <c r="E16" s="1"/>
  <c r="E17" s="1"/>
  <c r="E18" s="1"/>
  <c r="E19" s="1"/>
  <c r="E20" s="1"/>
  <c r="A2"/>
  <c r="B2" s="1"/>
  <c r="G6" i="17" l="1"/>
  <c r="G7" s="1"/>
  <c r="G8" s="1"/>
  <c r="G9" s="1"/>
  <c r="G10" s="1"/>
  <c r="G11" s="1"/>
  <c r="G12" s="1"/>
  <c r="G13" s="1"/>
  <c r="G14" s="1"/>
  <c r="G15" s="1"/>
  <c r="G16" s="1"/>
  <c r="G17" s="1"/>
  <c r="G18" s="1"/>
  <c r="G19" s="1"/>
  <c r="G20" s="1"/>
  <c r="G21" s="1"/>
  <c r="G22" s="1"/>
  <c r="G23" s="1"/>
  <c r="G24" s="1"/>
  <c r="G25" s="1"/>
  <c r="G26" s="1"/>
  <c r="G27" s="1"/>
  <c r="G28" s="1"/>
  <c r="G29" s="1"/>
  <c r="G30" s="1"/>
  <c r="G31" s="1"/>
  <c r="G22" i="16"/>
  <c r="D4"/>
  <c r="G4" s="1"/>
  <c r="S4" i="17"/>
  <c r="S5" s="1"/>
  <c r="S6" s="1"/>
  <c r="S7" s="1"/>
  <c r="S8" s="1"/>
  <c r="S9" s="1"/>
  <c r="S10" s="1"/>
  <c r="S11" s="1"/>
  <c r="S12" s="1"/>
  <c r="S13" s="1"/>
  <c r="S14" s="1"/>
  <c r="S15" s="1"/>
  <c r="S16" s="1"/>
  <c r="S17" s="1"/>
  <c r="S18" s="1"/>
  <c r="S19" s="1"/>
  <c r="S20" s="1"/>
  <c r="S21" s="1"/>
  <c r="S22" s="1"/>
  <c r="S23" s="1"/>
  <c r="S24" s="1"/>
  <c r="S25" s="1"/>
  <c r="S26" s="1"/>
  <c r="S27" s="1"/>
  <c r="S28" s="1"/>
  <c r="S29" s="1"/>
  <c r="S30" s="1"/>
  <c r="S31" s="1"/>
  <c r="H2" i="19"/>
  <c r="B3" i="15"/>
  <c r="B4" s="1"/>
  <c r="B5" s="1"/>
  <c r="B6" s="1"/>
  <c r="B7" s="1"/>
  <c r="B8" s="1"/>
  <c r="B9" s="1"/>
  <c r="B10" s="1"/>
  <c r="B11" s="1"/>
  <c r="B12" s="1"/>
  <c r="B13" s="1"/>
  <c r="B14" s="1"/>
  <c r="B15" s="1"/>
  <c r="B16" s="1"/>
  <c r="B17" s="1"/>
  <c r="B18" s="1"/>
  <c r="B19" s="1"/>
  <c r="B20" s="1"/>
  <c r="G2" i="16"/>
  <c r="G3"/>
  <c r="C5" i="17"/>
  <c r="C6" s="1"/>
  <c r="C7" s="1"/>
  <c r="C8" s="1"/>
  <c r="C9" s="1"/>
  <c r="C10" s="1"/>
  <c r="C11" s="1"/>
  <c r="C12" s="1"/>
  <c r="C13" s="1"/>
  <c r="C14" s="1"/>
  <c r="C15" s="1"/>
  <c r="C16" s="1"/>
  <c r="C17" s="1"/>
  <c r="C18" s="1"/>
  <c r="C19" s="1"/>
  <c r="C20" s="1"/>
  <c r="C21" s="1"/>
  <c r="C22" s="1"/>
  <c r="C23" s="1"/>
  <c r="C24" s="1"/>
  <c r="C25" s="1"/>
  <c r="C26" s="1"/>
  <c r="C27" s="1"/>
  <c r="C28" s="1"/>
  <c r="C29" s="1"/>
  <c r="C30" s="1"/>
  <c r="C31" s="1"/>
  <c r="H3" i="15"/>
  <c r="H4" s="1"/>
  <c r="H5" s="1"/>
  <c r="H6" s="1"/>
  <c r="H7" s="1"/>
  <c r="H8" s="1"/>
  <c r="H9" s="1"/>
  <c r="H10" s="1"/>
  <c r="H11" s="1"/>
  <c r="H12" s="1"/>
  <c r="H13" s="1"/>
  <c r="H14" s="1"/>
  <c r="H15" s="1"/>
  <c r="H16" s="1"/>
  <c r="H17" s="1"/>
  <c r="H18" s="1"/>
  <c r="H19" s="1"/>
  <c r="H20" s="1"/>
  <c r="H2" i="16"/>
  <c r="C3"/>
  <c r="C4" s="1"/>
  <c r="C5" s="1"/>
  <c r="C6" s="1"/>
  <c r="C7" s="1"/>
  <c r="C8" s="1"/>
  <c r="C9" s="1"/>
  <c r="C10" s="1"/>
  <c r="C11" s="1"/>
  <c r="C12" s="1"/>
  <c r="C13" s="1"/>
  <c r="C14" s="1"/>
  <c r="C15" s="1"/>
  <c r="C16" s="1"/>
  <c r="C17" s="1"/>
  <c r="C18" s="1"/>
  <c r="C19" s="1"/>
  <c r="C20" s="1"/>
  <c r="C21" s="1"/>
  <c r="C22" s="1"/>
  <c r="C23" s="1"/>
  <c r="C24" s="1"/>
  <c r="C25" s="1"/>
  <c r="C26" s="1"/>
  <c r="C27" s="1"/>
  <c r="C28" s="1"/>
  <c r="C29" s="1"/>
  <c r="C30" s="1"/>
  <c r="C31" s="1"/>
  <c r="D2" i="19"/>
  <c r="G2" s="1"/>
  <c r="L3" i="16"/>
  <c r="H3"/>
  <c r="I2"/>
  <c r="K2"/>
  <c r="K2" i="18"/>
  <c r="I2"/>
  <c r="K2" i="19"/>
  <c r="I2"/>
  <c r="D6" i="16"/>
  <c r="G6" s="1"/>
  <c r="D10"/>
  <c r="G10" s="1"/>
  <c r="D18"/>
  <c r="G18" s="1"/>
  <c r="D26"/>
  <c r="G26" s="1"/>
  <c r="D31"/>
  <c r="G31" s="1"/>
  <c r="K5" i="17"/>
  <c r="K6" s="1"/>
  <c r="K7" s="1"/>
  <c r="K8" s="1"/>
  <c r="K9" s="1"/>
  <c r="K10" s="1"/>
  <c r="K11" s="1"/>
  <c r="K12" s="1"/>
  <c r="K13" s="1"/>
  <c r="K14" s="1"/>
  <c r="K15" s="1"/>
  <c r="K16" s="1"/>
  <c r="K17" s="1"/>
  <c r="K18" s="1"/>
  <c r="K19" s="1"/>
  <c r="K20" s="1"/>
  <c r="K21" s="1"/>
  <c r="K22" s="1"/>
  <c r="K23" s="1"/>
  <c r="K24" s="1"/>
  <c r="K25" s="1"/>
  <c r="K26" s="1"/>
  <c r="K27" s="1"/>
  <c r="K28" s="1"/>
  <c r="K29" s="1"/>
  <c r="K30" s="1"/>
  <c r="K31" s="1"/>
  <c r="D7" i="16"/>
  <c r="G7" s="1"/>
  <c r="D11"/>
  <c r="G11" s="1"/>
  <c r="D15"/>
  <c r="G15" s="1"/>
  <c r="D16"/>
  <c r="G16" s="1"/>
  <c r="D23"/>
  <c r="G23" s="1"/>
  <c r="D24"/>
  <c r="G24" s="1"/>
  <c r="D8"/>
  <c r="G8" s="1"/>
  <c r="D12"/>
  <c r="G12" s="1"/>
  <c r="D14"/>
  <c r="G14" s="1"/>
  <c r="D29"/>
  <c r="G29" s="1"/>
  <c r="D25"/>
  <c r="G25" s="1"/>
  <c r="D21"/>
  <c r="G21" s="1"/>
  <c r="D17"/>
  <c r="G17" s="1"/>
  <c r="D30"/>
  <c r="G30" s="1"/>
  <c r="D5"/>
  <c r="G5" s="1"/>
  <c r="D9"/>
  <c r="G9" s="1"/>
  <c r="D13"/>
  <c r="G13" s="1"/>
  <c r="D19"/>
  <c r="G19" s="1"/>
  <c r="D20"/>
  <c r="G20" s="1"/>
  <c r="D27"/>
  <c r="G27" s="1"/>
  <c r="D28"/>
  <c r="G28" s="1"/>
  <c r="D2" i="18"/>
  <c r="G2" s="1"/>
  <c r="C3"/>
  <c r="C4" s="1"/>
  <c r="C5" s="1"/>
  <c r="C6" s="1"/>
  <c r="C7" s="1"/>
  <c r="C8" s="1"/>
  <c r="C9" s="1"/>
  <c r="C10" s="1"/>
  <c r="C11" s="1"/>
  <c r="C12" s="1"/>
  <c r="C13" s="1"/>
  <c r="C14" s="1"/>
  <c r="C15" s="1"/>
  <c r="C16" s="1"/>
  <c r="C17" s="1"/>
  <c r="C18" s="1"/>
  <c r="C19" s="1"/>
  <c r="C20" s="1"/>
  <c r="C21" s="1"/>
  <c r="C22" s="1"/>
  <c r="C23" s="1"/>
  <c r="C24" s="1"/>
  <c r="C25" s="1"/>
  <c r="C26" s="1"/>
  <c r="C27" s="1"/>
  <c r="C28" s="1"/>
  <c r="C29" s="1"/>
  <c r="C30" s="1"/>
  <c r="C31" s="1"/>
  <c r="D4"/>
  <c r="G4" s="1"/>
  <c r="D8"/>
  <c r="G8" s="1"/>
  <c r="D12"/>
  <c r="G12" s="1"/>
  <c r="D16"/>
  <c r="G16" s="1"/>
  <c r="D20"/>
  <c r="G20" s="1"/>
  <c r="D24"/>
  <c r="G24" s="1"/>
  <c r="D28"/>
  <c r="G28" s="1"/>
  <c r="D3" i="19"/>
  <c r="G3" s="1"/>
  <c r="L3" s="1"/>
  <c r="D7"/>
  <c r="G7" s="1"/>
  <c r="D11"/>
  <c r="G11" s="1"/>
  <c r="D15"/>
  <c r="G15" s="1"/>
  <c r="D19"/>
  <c r="G19" s="1"/>
  <c r="D23"/>
  <c r="G23" s="1"/>
  <c r="D27"/>
  <c r="G27" s="1"/>
  <c r="D31"/>
  <c r="G31" s="1"/>
  <c r="D5" i="18"/>
  <c r="G5" s="1"/>
  <c r="D9"/>
  <c r="G9" s="1"/>
  <c r="D13"/>
  <c r="G13" s="1"/>
  <c r="D17"/>
  <c r="G17" s="1"/>
  <c r="D21"/>
  <c r="G21" s="1"/>
  <c r="D25"/>
  <c r="G25" s="1"/>
  <c r="D29"/>
  <c r="G29" s="1"/>
  <c r="C3" i="19"/>
  <c r="C4" s="1"/>
  <c r="C5" s="1"/>
  <c r="C6" s="1"/>
  <c r="C7" s="1"/>
  <c r="C8" s="1"/>
  <c r="C9" s="1"/>
  <c r="C10" s="1"/>
  <c r="C11" s="1"/>
  <c r="C12" s="1"/>
  <c r="C13" s="1"/>
  <c r="C14" s="1"/>
  <c r="C15" s="1"/>
  <c r="C16" s="1"/>
  <c r="C17" s="1"/>
  <c r="C18" s="1"/>
  <c r="C19" s="1"/>
  <c r="C20" s="1"/>
  <c r="C21" s="1"/>
  <c r="C22" s="1"/>
  <c r="C23" s="1"/>
  <c r="C24" s="1"/>
  <c r="C25" s="1"/>
  <c r="C26" s="1"/>
  <c r="C27" s="1"/>
  <c r="C28" s="1"/>
  <c r="C29" s="1"/>
  <c r="C30" s="1"/>
  <c r="C31" s="1"/>
  <c r="D4"/>
  <c r="G4" s="1"/>
  <c r="D8"/>
  <c r="G8" s="1"/>
  <c r="D12"/>
  <c r="G12" s="1"/>
  <c r="D16"/>
  <c r="G16" s="1"/>
  <c r="D20"/>
  <c r="G20" s="1"/>
  <c r="D24"/>
  <c r="G24" s="1"/>
  <c r="D28"/>
  <c r="G28" s="1"/>
  <c r="D6" i="18"/>
  <c r="G6" s="1"/>
  <c r="D10"/>
  <c r="G10" s="1"/>
  <c r="D14"/>
  <c r="G14" s="1"/>
  <c r="D18"/>
  <c r="G18" s="1"/>
  <c r="D22"/>
  <c r="G22" s="1"/>
  <c r="D26"/>
  <c r="G26" s="1"/>
  <c r="D30"/>
  <c r="G30" s="1"/>
  <c r="D5" i="19"/>
  <c r="G5" s="1"/>
  <c r="D9"/>
  <c r="G9" s="1"/>
  <c r="D13"/>
  <c r="G13" s="1"/>
  <c r="D17"/>
  <c r="G17" s="1"/>
  <c r="D21"/>
  <c r="G21" s="1"/>
  <c r="D25"/>
  <c r="G25" s="1"/>
  <c r="D29"/>
  <c r="G29" s="1"/>
  <c r="D3" i="18"/>
  <c r="G3" s="1"/>
  <c r="L3" s="1"/>
  <c r="D7"/>
  <c r="G7" s="1"/>
  <c r="D11"/>
  <c r="G11" s="1"/>
  <c r="D15"/>
  <c r="G15" s="1"/>
  <c r="D19"/>
  <c r="G19" s="1"/>
  <c r="D23"/>
  <c r="G23" s="1"/>
  <c r="D27"/>
  <c r="G27" s="1"/>
  <c r="D6" i="19"/>
  <c r="G6" s="1"/>
  <c r="D10"/>
  <c r="G10" s="1"/>
  <c r="D14"/>
  <c r="G14" s="1"/>
  <c r="D18"/>
  <c r="G18" s="1"/>
  <c r="D22"/>
  <c r="G22" s="1"/>
  <c r="D26"/>
  <c r="G26" s="1"/>
  <c r="G33" i="16" l="1"/>
  <c r="I3" i="19"/>
  <c r="I4" s="1"/>
  <c r="I5" s="1"/>
  <c r="I6" s="1"/>
  <c r="I7" s="1"/>
  <c r="I8" s="1"/>
  <c r="I9" s="1"/>
  <c r="I10" s="1"/>
  <c r="I11" s="1"/>
  <c r="I12" s="1"/>
  <c r="I13" s="1"/>
  <c r="I14" s="1"/>
  <c r="I15" s="1"/>
  <c r="I16" s="1"/>
  <c r="I17" s="1"/>
  <c r="I18" s="1"/>
  <c r="I19" s="1"/>
  <c r="I20" s="1"/>
  <c r="I21" s="1"/>
  <c r="I22" s="1"/>
  <c r="I23" s="1"/>
  <c r="I24" s="1"/>
  <c r="I25" s="1"/>
  <c r="I26" s="1"/>
  <c r="I27" s="1"/>
  <c r="I28" s="1"/>
  <c r="I29" s="1"/>
  <c r="I30" s="1"/>
  <c r="I31" s="1"/>
  <c r="J2"/>
  <c r="J3" s="1"/>
  <c r="J4" s="1"/>
  <c r="J5" s="1"/>
  <c r="J6" s="1"/>
  <c r="J7" s="1"/>
  <c r="J8" s="1"/>
  <c r="J9" s="1"/>
  <c r="J10" s="1"/>
  <c r="J11" s="1"/>
  <c r="J12" s="1"/>
  <c r="J13" s="1"/>
  <c r="J14" s="1"/>
  <c r="J15" s="1"/>
  <c r="J16" s="1"/>
  <c r="J17" s="1"/>
  <c r="J18" s="1"/>
  <c r="J19" s="1"/>
  <c r="J20" s="1"/>
  <c r="J21" s="1"/>
  <c r="J22" s="1"/>
  <c r="J23" s="1"/>
  <c r="J24" s="1"/>
  <c r="J25" s="1"/>
  <c r="J26" s="1"/>
  <c r="J27" s="1"/>
  <c r="J28" s="1"/>
  <c r="J29" s="1"/>
  <c r="J30" s="1"/>
  <c r="J31" s="1"/>
  <c r="I3" i="18"/>
  <c r="I4" s="1"/>
  <c r="I5" s="1"/>
  <c r="I6" s="1"/>
  <c r="I7" s="1"/>
  <c r="I8" s="1"/>
  <c r="I9" s="1"/>
  <c r="I10" s="1"/>
  <c r="I11" s="1"/>
  <c r="I12" s="1"/>
  <c r="I13" s="1"/>
  <c r="I14" s="1"/>
  <c r="I15" s="1"/>
  <c r="I16" s="1"/>
  <c r="I17" s="1"/>
  <c r="I18" s="1"/>
  <c r="I19" s="1"/>
  <c r="I20" s="1"/>
  <c r="I21" s="1"/>
  <c r="I22" s="1"/>
  <c r="I23" s="1"/>
  <c r="I24" s="1"/>
  <c r="I25" s="1"/>
  <c r="I26" s="1"/>
  <c r="I27" s="1"/>
  <c r="I28" s="1"/>
  <c r="I29" s="1"/>
  <c r="I30" s="1"/>
  <c r="I31" s="1"/>
  <c r="J2"/>
  <c r="J3" s="1"/>
  <c r="J4" s="1"/>
  <c r="J5" s="1"/>
  <c r="J6" s="1"/>
  <c r="J7" s="1"/>
  <c r="J8" s="1"/>
  <c r="J9" s="1"/>
  <c r="J10" s="1"/>
  <c r="J11" s="1"/>
  <c r="J12" s="1"/>
  <c r="J13" s="1"/>
  <c r="J14" s="1"/>
  <c r="J15" s="1"/>
  <c r="J16" s="1"/>
  <c r="J17" s="1"/>
  <c r="J18" s="1"/>
  <c r="J19" s="1"/>
  <c r="J20" s="1"/>
  <c r="J21" s="1"/>
  <c r="J22" s="1"/>
  <c r="J23" s="1"/>
  <c r="J24" s="1"/>
  <c r="J25" s="1"/>
  <c r="J26" s="1"/>
  <c r="J27" s="1"/>
  <c r="J28" s="1"/>
  <c r="J29" s="1"/>
  <c r="J30" s="1"/>
  <c r="J31" s="1"/>
  <c r="G33" i="19"/>
  <c r="G33" i="18"/>
  <c r="H4" i="16"/>
  <c r="K3"/>
  <c r="N3" s="1"/>
  <c r="L4" s="1"/>
  <c r="I3"/>
  <c r="I4" s="1"/>
  <c r="I5" s="1"/>
  <c r="I6" s="1"/>
  <c r="I7" s="1"/>
  <c r="I8" s="1"/>
  <c r="I9" s="1"/>
  <c r="I10" s="1"/>
  <c r="I11" s="1"/>
  <c r="I12" s="1"/>
  <c r="I13" s="1"/>
  <c r="I14" s="1"/>
  <c r="I15" s="1"/>
  <c r="I16" s="1"/>
  <c r="I17" s="1"/>
  <c r="I18" s="1"/>
  <c r="I19" s="1"/>
  <c r="I20" s="1"/>
  <c r="I21" s="1"/>
  <c r="I22" s="1"/>
  <c r="I23" s="1"/>
  <c r="I24" s="1"/>
  <c r="I25" s="1"/>
  <c r="I26" s="1"/>
  <c r="I27" s="1"/>
  <c r="I28" s="1"/>
  <c r="I29" s="1"/>
  <c r="I30" s="1"/>
  <c r="I31" s="1"/>
  <c r="J2"/>
  <c r="J3" s="1"/>
  <c r="J4" s="1"/>
  <c r="J5" s="1"/>
  <c r="J6" s="1"/>
  <c r="J7" s="1"/>
  <c r="J8" s="1"/>
  <c r="J9" s="1"/>
  <c r="J10" s="1"/>
  <c r="J11" s="1"/>
  <c r="J12" s="1"/>
  <c r="J13" s="1"/>
  <c r="J14" s="1"/>
  <c r="J15" s="1"/>
  <c r="J16" s="1"/>
  <c r="J17" s="1"/>
  <c r="J18" s="1"/>
  <c r="J19" s="1"/>
  <c r="J20" s="1"/>
  <c r="J21" s="1"/>
  <c r="J22" s="1"/>
  <c r="J23" s="1"/>
  <c r="J24" s="1"/>
  <c r="J25" s="1"/>
  <c r="J26" s="1"/>
  <c r="J27" s="1"/>
  <c r="J28" s="1"/>
  <c r="J29" s="1"/>
  <c r="J30" s="1"/>
  <c r="J31" s="1"/>
  <c r="H3" i="19"/>
  <c r="H3" i="18"/>
  <c r="H4" i="19" l="1"/>
  <c r="K3"/>
  <c r="H5" i="16"/>
  <c r="K4"/>
  <c r="N4" s="1"/>
  <c r="L5" s="1"/>
  <c r="H4" i="18"/>
  <c r="K3"/>
  <c r="M3" i="16"/>
  <c r="H5" i="18" l="1"/>
  <c r="K4"/>
  <c r="M3" i="19"/>
  <c r="N3"/>
  <c r="L4" s="1"/>
  <c r="M4" i="16"/>
  <c r="H6"/>
  <c r="K5"/>
  <c r="N5" s="1"/>
  <c r="L6" s="1"/>
  <c r="M3" i="18"/>
  <c r="N3"/>
  <c r="L4" s="1"/>
  <c r="H5" i="19"/>
  <c r="K4"/>
  <c r="M5" i="16" l="1"/>
  <c r="M4" i="19"/>
  <c r="N4"/>
  <c r="L5" s="1"/>
  <c r="N4" i="18"/>
  <c r="L5" s="1"/>
  <c r="M4"/>
  <c r="H6"/>
  <c r="K5"/>
  <c r="H6" i="19"/>
  <c r="K5"/>
  <c r="H7" i="16"/>
  <c r="K6"/>
  <c r="M6" s="1"/>
  <c r="M5" i="19" l="1"/>
  <c r="N5"/>
  <c r="L6" s="1"/>
  <c r="N6" i="16"/>
  <c r="L7" s="1"/>
  <c r="H7" i="19"/>
  <c r="K6"/>
  <c r="M5" i="18"/>
  <c r="N5"/>
  <c r="L6" s="1"/>
  <c r="H8" i="16"/>
  <c r="K7"/>
  <c r="H7" i="18"/>
  <c r="K6"/>
  <c r="H9" i="16" l="1"/>
  <c r="K8"/>
  <c r="M6" i="19"/>
  <c r="N6"/>
  <c r="L7" s="1"/>
  <c r="M6" i="18"/>
  <c r="N6"/>
  <c r="L7" s="1"/>
  <c r="M7" i="16"/>
  <c r="N7"/>
  <c r="L8" s="1"/>
  <c r="H8" i="18"/>
  <c r="K7"/>
  <c r="H8" i="19"/>
  <c r="K7"/>
  <c r="M8" i="16" l="1"/>
  <c r="N8"/>
  <c r="L9" s="1"/>
  <c r="N7" i="19"/>
  <c r="L8" s="1"/>
  <c r="M7"/>
  <c r="H9" i="18"/>
  <c r="K8"/>
  <c r="H10" i="16"/>
  <c r="K9"/>
  <c r="M7" i="18"/>
  <c r="N7"/>
  <c r="L8" s="1"/>
  <c r="H9" i="19"/>
  <c r="K8"/>
  <c r="H10" i="18" l="1"/>
  <c r="K9"/>
  <c r="N8"/>
  <c r="L9" s="1"/>
  <c r="M8"/>
  <c r="M9" i="16"/>
  <c r="N9"/>
  <c r="L10" s="1"/>
  <c r="H10" i="19"/>
  <c r="K9"/>
  <c r="H11" i="16"/>
  <c r="K10"/>
  <c r="M8" i="19"/>
  <c r="N8"/>
  <c r="L9" s="1"/>
  <c r="M9" l="1"/>
  <c r="N9"/>
  <c r="L10" s="1"/>
  <c r="H12" i="16"/>
  <c r="K11"/>
  <c r="H11" i="18"/>
  <c r="K10"/>
  <c r="N10" i="16"/>
  <c r="L11" s="1"/>
  <c r="M10"/>
  <c r="H11" i="19"/>
  <c r="K10"/>
  <c r="M9" i="18"/>
  <c r="N9"/>
  <c r="L10" s="1"/>
  <c r="H12" i="19" l="1"/>
  <c r="K11"/>
  <c r="H12" i="18"/>
  <c r="K11"/>
  <c r="M10" i="19"/>
  <c r="N10"/>
  <c r="L11" s="1"/>
  <c r="M11" i="16"/>
  <c r="N11"/>
  <c r="L12" s="1"/>
  <c r="H13"/>
  <c r="K12"/>
  <c r="M10" i="18"/>
  <c r="N10"/>
  <c r="L11" s="1"/>
  <c r="H14" i="16" l="1"/>
  <c r="K13"/>
  <c r="H13" i="19"/>
  <c r="K12"/>
  <c r="N11"/>
  <c r="L12" s="1"/>
  <c r="M11"/>
  <c r="H13" i="18"/>
  <c r="K12"/>
  <c r="M11"/>
  <c r="N11"/>
  <c r="L12" s="1"/>
  <c r="M12" i="16"/>
  <c r="N12"/>
  <c r="L13" s="1"/>
  <c r="M12" i="19" l="1"/>
  <c r="N12"/>
  <c r="L13" s="1"/>
  <c r="H15" i="16"/>
  <c r="K14"/>
  <c r="N12" i="18"/>
  <c r="L13" s="1"/>
  <c r="M12"/>
  <c r="H14"/>
  <c r="K13"/>
  <c r="H14" i="19"/>
  <c r="K13"/>
  <c r="M13" i="16"/>
  <c r="N13"/>
  <c r="L14" s="1"/>
  <c r="H15" i="19" l="1"/>
  <c r="K14"/>
  <c r="M13" i="18"/>
  <c r="N13"/>
  <c r="L14" s="1"/>
  <c r="M13" i="19"/>
  <c r="N13"/>
  <c r="L14" s="1"/>
  <c r="H15" i="18"/>
  <c r="K14"/>
  <c r="H16" i="16"/>
  <c r="K15"/>
  <c r="N14"/>
  <c r="L15" s="1"/>
  <c r="M14"/>
  <c r="H17" l="1"/>
  <c r="K16"/>
  <c r="H16" i="19"/>
  <c r="K15"/>
  <c r="M14"/>
  <c r="N14"/>
  <c r="L15" s="1"/>
  <c r="H16" i="18"/>
  <c r="K15"/>
  <c r="M15" i="16"/>
  <c r="N15"/>
  <c r="L16" s="1"/>
  <c r="M14" i="18"/>
  <c r="N14"/>
  <c r="L15" s="1"/>
  <c r="H18" i="16" l="1"/>
  <c r="K17"/>
  <c r="M16"/>
  <c r="N16"/>
  <c r="L17" s="1"/>
  <c r="N15" i="19"/>
  <c r="L16" s="1"/>
  <c r="M15"/>
  <c r="H17" i="18"/>
  <c r="K16"/>
  <c r="H17" i="19"/>
  <c r="K16"/>
  <c r="M15" i="18"/>
  <c r="N15"/>
  <c r="L16" s="1"/>
  <c r="M16" i="19" l="1"/>
  <c r="N16"/>
  <c r="L17" s="1"/>
  <c r="K18" i="16"/>
  <c r="H19"/>
  <c r="H18" i="19"/>
  <c r="K17"/>
  <c r="H18" i="18"/>
  <c r="K17"/>
  <c r="N16"/>
  <c r="L17" s="1"/>
  <c r="M16"/>
  <c r="M17" i="16"/>
  <c r="N17"/>
  <c r="L18" s="1"/>
  <c r="M17" i="18" l="1"/>
  <c r="N17"/>
  <c r="L18" s="1"/>
  <c r="H19" i="19"/>
  <c r="K18"/>
  <c r="M17"/>
  <c r="N17"/>
  <c r="L18" s="1"/>
  <c r="H19" i="18"/>
  <c r="K18"/>
  <c r="N18" i="16"/>
  <c r="L19" s="1"/>
  <c r="M18"/>
  <c r="H20"/>
  <c r="K19"/>
  <c r="K20" l="1"/>
  <c r="H21"/>
  <c r="M19"/>
  <c r="N19"/>
  <c r="L20" s="1"/>
  <c r="M18" i="19"/>
  <c r="N18"/>
  <c r="L19" s="1"/>
  <c r="M18" i="18"/>
  <c r="N18"/>
  <c r="L19" s="1"/>
  <c r="H20"/>
  <c r="K19"/>
  <c r="H20" i="19"/>
  <c r="K19"/>
  <c r="H21" i="18" l="1"/>
  <c r="K20"/>
  <c r="N19" i="19"/>
  <c r="L20" s="1"/>
  <c r="M19"/>
  <c r="H22" i="16"/>
  <c r="K21"/>
  <c r="H21" i="19"/>
  <c r="K20"/>
  <c r="M19" i="18"/>
  <c r="N19"/>
  <c r="L20" s="1"/>
  <c r="M20" i="16"/>
  <c r="N20"/>
  <c r="L21" s="1"/>
  <c r="H23" l="1"/>
  <c r="K22"/>
  <c r="H22" i="18"/>
  <c r="K21"/>
  <c r="H22" i="19"/>
  <c r="K21"/>
  <c r="M20"/>
  <c r="N20"/>
  <c r="L21" s="1"/>
  <c r="N20" i="18"/>
  <c r="L21" s="1"/>
  <c r="M20"/>
  <c r="M21" i="16"/>
  <c r="N21"/>
  <c r="M21" i="18" l="1"/>
  <c r="N21"/>
  <c r="L22" s="1"/>
  <c r="H23" i="19"/>
  <c r="K22"/>
  <c r="H24" i="16"/>
  <c r="K23"/>
  <c r="L22"/>
  <c r="M33"/>
  <c r="N33" s="1"/>
  <c r="H23" i="18"/>
  <c r="K22"/>
  <c r="M21" i="19"/>
  <c r="N21"/>
  <c r="L22" s="1"/>
  <c r="H24" i="18" l="1"/>
  <c r="K23"/>
  <c r="H25" i="16"/>
  <c r="K24"/>
  <c r="M22" i="18"/>
  <c r="N22"/>
  <c r="L23" s="1"/>
  <c r="N22" i="16"/>
  <c r="M22"/>
  <c r="L23" s="1"/>
  <c r="H24" i="19"/>
  <c r="K23"/>
  <c r="M22"/>
  <c r="N22"/>
  <c r="L23" s="1"/>
  <c r="H25" l="1"/>
  <c r="K24"/>
  <c r="H25" i="18"/>
  <c r="K24"/>
  <c r="H26" i="16"/>
  <c r="K25"/>
  <c r="M23" i="18"/>
  <c r="N23"/>
  <c r="L24" s="1"/>
  <c r="N23" i="19"/>
  <c r="L24" s="1"/>
  <c r="M23"/>
  <c r="M23" i="16"/>
  <c r="L24" s="1"/>
  <c r="M24" i="19" l="1"/>
  <c r="N24"/>
  <c r="L25" s="1"/>
  <c r="K26" i="16"/>
  <c r="H27"/>
  <c r="H26" i="19"/>
  <c r="K25"/>
  <c r="M24" i="16"/>
  <c r="L25" s="1"/>
  <c r="H26" i="18"/>
  <c r="K25"/>
  <c r="N24"/>
  <c r="L25" s="1"/>
  <c r="M24"/>
  <c r="N23" i="16"/>
  <c r="H27" i="18" l="1"/>
  <c r="K26"/>
  <c r="H27" i="19"/>
  <c r="K26"/>
  <c r="M25"/>
  <c r="N25"/>
  <c r="L26" s="1"/>
  <c r="M25" i="18"/>
  <c r="N25"/>
  <c r="L26" s="1"/>
  <c r="M25" i="16"/>
  <c r="L26" s="1"/>
  <c r="N25"/>
  <c r="H28"/>
  <c r="K27"/>
  <c r="N24"/>
  <c r="N26" l="1"/>
  <c r="M26"/>
  <c r="L27" s="1"/>
  <c r="H28" i="18"/>
  <c r="K27"/>
  <c r="M26" i="19"/>
  <c r="N26"/>
  <c r="L27" s="1"/>
  <c r="H29" i="16"/>
  <c r="K28"/>
  <c r="H28" i="19"/>
  <c r="K27"/>
  <c r="M26" i="18"/>
  <c r="N26"/>
  <c r="L27" s="1"/>
  <c r="H29" i="19" l="1"/>
  <c r="K28"/>
  <c r="N27"/>
  <c r="L28" s="1"/>
  <c r="M27"/>
  <c r="M27" i="16"/>
  <c r="L28" s="1"/>
  <c r="N27"/>
  <c r="K29"/>
  <c r="H30"/>
  <c r="H29" i="18"/>
  <c r="K28"/>
  <c r="M27"/>
  <c r="N27"/>
  <c r="L28" s="1"/>
  <c r="H30" l="1"/>
  <c r="K29"/>
  <c r="M28" i="16"/>
  <c r="L29" s="1"/>
  <c r="H30" i="19"/>
  <c r="K29"/>
  <c r="M28"/>
  <c r="N28"/>
  <c r="L29" s="1"/>
  <c r="N28" i="18"/>
  <c r="L29" s="1"/>
  <c r="M28"/>
  <c r="K30" i="16"/>
  <c r="H31"/>
  <c r="K31" s="1"/>
  <c r="M29" i="18" l="1"/>
  <c r="N29"/>
  <c r="L30" s="1"/>
  <c r="H31" i="19"/>
  <c r="K31" s="1"/>
  <c r="K30"/>
  <c r="H31" i="18"/>
  <c r="K31" s="1"/>
  <c r="K30"/>
  <c r="M29" i="16"/>
  <c r="L30" s="1"/>
  <c r="M29" i="19"/>
  <c r="N29"/>
  <c r="L30" s="1"/>
  <c r="N28" i="16"/>
  <c r="M30" i="19" l="1"/>
  <c r="N30"/>
  <c r="L31" s="1"/>
  <c r="M30" i="18"/>
  <c r="N30"/>
  <c r="L31" s="1"/>
  <c r="N30" i="16"/>
  <c r="M30"/>
  <c r="L31" s="1"/>
  <c r="N29"/>
  <c r="N31" i="19" l="1"/>
  <c r="M31"/>
  <c r="M33" s="1"/>
  <c r="N33" s="1"/>
  <c r="N31" i="16"/>
  <c r="M31"/>
  <c r="M31" i="18"/>
  <c r="M33" s="1"/>
  <c r="N33" s="1"/>
  <c r="N31"/>
  <c r="G13" i="14" l="1"/>
  <c r="E15"/>
  <c r="C15"/>
  <c r="D15"/>
  <c r="F15"/>
  <c r="G15"/>
  <c r="H15"/>
  <c r="I15"/>
  <c r="J15"/>
  <c r="K15"/>
  <c r="L15"/>
  <c r="M15"/>
  <c r="B15"/>
  <c r="H14"/>
  <c r="C14"/>
  <c r="D14"/>
  <c r="E14"/>
  <c r="F14"/>
  <c r="I14"/>
  <c r="J14"/>
  <c r="K14"/>
  <c r="L14"/>
  <c r="M14"/>
  <c r="B14"/>
  <c r="F13"/>
  <c r="C13"/>
  <c r="D13"/>
  <c r="E13"/>
  <c r="H13"/>
  <c r="I13"/>
  <c r="J13"/>
  <c r="K13"/>
  <c r="L13"/>
  <c r="M13"/>
  <c r="B13"/>
</calcChain>
</file>

<file path=xl/sharedStrings.xml><?xml version="1.0" encoding="utf-8"?>
<sst xmlns="http://schemas.openxmlformats.org/spreadsheetml/2006/main" count="3668" uniqueCount="1034">
  <si>
    <t>Human</t>
  </si>
  <si>
    <t>Birdfolk</t>
  </si>
  <si>
    <t>Catfolk</t>
  </si>
  <si>
    <t>Centaur</t>
  </si>
  <si>
    <t>Dragonfolk</t>
  </si>
  <si>
    <t>Dwarf</t>
  </si>
  <si>
    <t>Elf</t>
  </si>
  <si>
    <t>Foxling</t>
  </si>
  <si>
    <t>Half Giant</t>
  </si>
  <si>
    <t>Halfling</t>
  </si>
  <si>
    <t>Kyantol</t>
  </si>
  <si>
    <t>Magic Creature</t>
  </si>
  <si>
    <t>Ratfolk</t>
  </si>
  <si>
    <t>Gnome</t>
  </si>
  <si>
    <t>Gargoyle</t>
  </si>
  <si>
    <t>Robot</t>
  </si>
  <si>
    <t>Golem</t>
  </si>
  <si>
    <t>Swordsman</t>
  </si>
  <si>
    <t>Templar</t>
  </si>
  <si>
    <t>Sage</t>
  </si>
  <si>
    <t>Hatchling</t>
  </si>
  <si>
    <t>Pegasus Archer</t>
  </si>
  <si>
    <t>Knight</t>
  </si>
  <si>
    <t>Pegasus Knight</t>
  </si>
  <si>
    <t>Priest</t>
  </si>
  <si>
    <t>Archer</t>
  </si>
  <si>
    <t>Warrior</t>
  </si>
  <si>
    <t>Baron</t>
  </si>
  <si>
    <t>Hero</t>
  </si>
  <si>
    <t>Cavalier</t>
  </si>
  <si>
    <t>Paladin</t>
  </si>
  <si>
    <t>Sky Lord</t>
  </si>
  <si>
    <t>Gladiator</t>
  </si>
  <si>
    <t>Warlord</t>
  </si>
  <si>
    <t>Artillery</t>
  </si>
  <si>
    <t>Brass Gunner</t>
  </si>
  <si>
    <t>Silver Tank</t>
  </si>
  <si>
    <t>Sniper</t>
  </si>
  <si>
    <t>Bowmaster</t>
  </si>
  <si>
    <t>Bird Battler</t>
  </si>
  <si>
    <t>Dragon Guard</t>
  </si>
  <si>
    <t>Monk</t>
  </si>
  <si>
    <t>Master Monk</t>
  </si>
  <si>
    <t>Grandmaster</t>
  </si>
  <si>
    <t>Ninja</t>
  </si>
  <si>
    <t>Shinobi</t>
  </si>
  <si>
    <t>Ranger</t>
  </si>
  <si>
    <t>Thief</t>
  </si>
  <si>
    <t>Master Thief</t>
  </si>
  <si>
    <t>Wolf Baron</t>
  </si>
  <si>
    <t>Wolf Lord</t>
  </si>
  <si>
    <t>Wizard</t>
  </si>
  <si>
    <t>Archmage</t>
  </si>
  <si>
    <t>Sorceror</t>
  </si>
  <si>
    <t>High Priest</t>
  </si>
  <si>
    <t>Vicar</t>
  </si>
  <si>
    <t>Crusader</t>
  </si>
  <si>
    <t>Emissary</t>
  </si>
  <si>
    <t>Militiaman</t>
  </si>
  <si>
    <t>Mudman</t>
  </si>
  <si>
    <t>Android</t>
  </si>
  <si>
    <t>Cyborg</t>
  </si>
  <si>
    <t>Sky Knight</t>
  </si>
  <si>
    <t>Duke</t>
  </si>
  <si>
    <t>Sky Sniper</t>
  </si>
  <si>
    <t>Bow Rider</t>
  </si>
  <si>
    <t>Birdman</t>
  </si>
  <si>
    <t>Dragon Lord</t>
  </si>
  <si>
    <t>Dragonman</t>
  </si>
  <si>
    <t>Mystic Knight</t>
  </si>
  <si>
    <t>Dragon</t>
  </si>
  <si>
    <t>Wolfman</t>
  </si>
  <si>
    <t>Mage</t>
  </si>
  <si>
    <t>Lizardfolk</t>
  </si>
  <si>
    <t>Wolffolk</t>
  </si>
  <si>
    <t>Wyrmling</t>
  </si>
  <si>
    <t>Dragon Elder</t>
  </si>
  <si>
    <t>Colossus</t>
  </si>
  <si>
    <t>Mystic</t>
  </si>
  <si>
    <t>Shadow Dancer</t>
  </si>
  <si>
    <t>Highwayman</t>
  </si>
  <si>
    <t xml:space="preserve">Bowknight </t>
  </si>
  <si>
    <t>Summoner</t>
  </si>
  <si>
    <t>Mystic Cavalier</t>
  </si>
  <si>
    <t>Mystic Paladin</t>
  </si>
  <si>
    <t>Sword Master</t>
  </si>
  <si>
    <t>Sentinel</t>
  </si>
  <si>
    <t>Pirate</t>
  </si>
  <si>
    <t>Marauder</t>
  </si>
  <si>
    <t>Swashbuckler</t>
  </si>
  <si>
    <t>Arrow</t>
  </si>
  <si>
    <t>Quarrel</t>
  </si>
  <si>
    <t>Shell</t>
  </si>
  <si>
    <t>None</t>
  </si>
  <si>
    <t>Sword</t>
  </si>
  <si>
    <t>Blade</t>
  </si>
  <si>
    <t>Rapier</t>
  </si>
  <si>
    <t>Halberd</t>
  </si>
  <si>
    <t>Lance</t>
  </si>
  <si>
    <t>Spear</t>
  </si>
  <si>
    <t>Rod</t>
  </si>
  <si>
    <t>Wand</t>
  </si>
  <si>
    <t>Ankh</t>
  </si>
  <si>
    <t>Glove</t>
  </si>
  <si>
    <t>Knuckle</t>
  </si>
  <si>
    <t>Claw</t>
  </si>
  <si>
    <t>Katana</t>
  </si>
  <si>
    <t>Shuriken</t>
  </si>
  <si>
    <t>Knife</t>
  </si>
  <si>
    <t>Anchor</t>
  </si>
  <si>
    <t>Dagger</t>
  </si>
  <si>
    <t>Axe</t>
  </si>
  <si>
    <t>Mace</t>
  </si>
  <si>
    <t>Hatchet</t>
  </si>
  <si>
    <t>Wing</t>
  </si>
  <si>
    <t>Critical</t>
  </si>
  <si>
    <t>Evade</t>
  </si>
  <si>
    <t>Defense</t>
  </si>
  <si>
    <t>Attack</t>
  </si>
  <si>
    <t>Succumb</t>
  </si>
  <si>
    <t>Magic Power</t>
  </si>
  <si>
    <t>Magic Power &amp; Counter</t>
  </si>
  <si>
    <t>Counter</t>
  </si>
  <si>
    <t>Thrown Knife</t>
  </si>
  <si>
    <t>Magic Resist &amp; Counter</t>
  </si>
  <si>
    <t>Magic Power &amp;Succumb</t>
  </si>
  <si>
    <t>Magic Resist &amp; Magic Power</t>
  </si>
  <si>
    <t>Counter &amp; Evade</t>
  </si>
  <si>
    <t>Magic Resist &amp;Evade</t>
  </si>
  <si>
    <t>Magic Resist &amp; Luck</t>
  </si>
  <si>
    <t>Soldier</t>
  </si>
  <si>
    <t>Guardian</t>
  </si>
  <si>
    <t>HP</t>
  </si>
  <si>
    <t>MP</t>
  </si>
  <si>
    <t>ATT</t>
  </si>
  <si>
    <t>DEF</t>
  </si>
  <si>
    <t>AGI</t>
  </si>
  <si>
    <t>Werewolf</t>
  </si>
  <si>
    <t>1 Per party</t>
  </si>
  <si>
    <t>Member</t>
  </si>
  <si>
    <t>Name</t>
  </si>
  <si>
    <t>Class</t>
  </si>
  <si>
    <t>DanTheMan</t>
  </si>
  <si>
    <t>Duncan</t>
  </si>
  <si>
    <t>Weapon</t>
  </si>
  <si>
    <t>Ice</t>
  </si>
  <si>
    <t>Wind</t>
  </si>
  <si>
    <t>Dark</t>
  </si>
  <si>
    <t>Light</t>
  </si>
  <si>
    <t>Electric</t>
  </si>
  <si>
    <t>Fire</t>
  </si>
  <si>
    <t>N/A</t>
  </si>
  <si>
    <t>Xiphor</t>
  </si>
  <si>
    <t>ehow22</t>
  </si>
  <si>
    <t>Hirsute</t>
  </si>
  <si>
    <t>zexxar</t>
  </si>
  <si>
    <t>Aldur</t>
  </si>
  <si>
    <t>MXC</t>
  </si>
  <si>
    <t>Ers</t>
  </si>
  <si>
    <t>nateburke</t>
  </si>
  <si>
    <t>Rusty</t>
  </si>
  <si>
    <t>Stordarth</t>
  </si>
  <si>
    <t>James</t>
  </si>
  <si>
    <t>Heal</t>
  </si>
  <si>
    <t>Support</t>
  </si>
  <si>
    <t>Willem</t>
  </si>
  <si>
    <t>Blaze</t>
  </si>
  <si>
    <t>Bolt</t>
  </si>
  <si>
    <t>Freeze</t>
  </si>
  <si>
    <t>Aywad</t>
  </si>
  <si>
    <t>Natedog</t>
  </si>
  <si>
    <t>Charge Ring</t>
  </si>
  <si>
    <t>Reflex Gloves</t>
  </si>
  <si>
    <t>Spring Boots</t>
  </si>
  <si>
    <t>Focus Lense</t>
  </si>
  <si>
    <t>Camo Vest</t>
  </si>
  <si>
    <t>Sprint Shoes</t>
  </si>
  <si>
    <t>Increase Agility by 5</t>
  </si>
  <si>
    <t>Sacrifice Ring</t>
  </si>
  <si>
    <t>Concentration Band</t>
  </si>
  <si>
    <t>Casters only</t>
  </si>
  <si>
    <t>Rubber Boots</t>
  </si>
  <si>
    <t>Lucky Horseshoe</t>
  </si>
  <si>
    <t>Centaurs only</t>
  </si>
  <si>
    <t>Holy Symbol</t>
  </si>
  <si>
    <t>Katon</t>
  </si>
  <si>
    <t>Kehhyo-Do</t>
  </si>
  <si>
    <t>Increase Critical chance by 4</t>
  </si>
  <si>
    <t>Increase Evade chance by 4</t>
  </si>
  <si>
    <t>Increase Luck by 2</t>
  </si>
  <si>
    <t>Increase Counter by 4</t>
  </si>
  <si>
    <t>Zorlak</t>
  </si>
  <si>
    <t>Aura</t>
  </si>
  <si>
    <t>Increase Electric Resistance by 10</t>
  </si>
  <si>
    <t>Increase Dark Resistance by 10</t>
  </si>
  <si>
    <t>Increase highest elemental proficiency by 1</t>
  </si>
  <si>
    <t>Move and act twice</t>
  </si>
  <si>
    <t>Humanoids only</t>
  </si>
  <si>
    <t>Ignore hindering terrain by .5</t>
  </si>
  <si>
    <t>Mr. Andrews</t>
  </si>
  <si>
    <t>Étarr</t>
  </si>
  <si>
    <t>RM22</t>
  </si>
  <si>
    <t>Peirce</t>
  </si>
  <si>
    <t>Savage</t>
  </si>
  <si>
    <t>Luck &amp; Succumb</t>
  </si>
  <si>
    <t>Barbarian</t>
  </si>
  <si>
    <t>Berserker</t>
  </si>
  <si>
    <t>Druid</t>
  </si>
  <si>
    <t>Warden</t>
  </si>
  <si>
    <t>Defence +6, Counter +5, Dark resist +20, Skill) Metal Jacket</t>
  </si>
  <si>
    <t>-</t>
  </si>
  <si>
    <t>A</t>
  </si>
  <si>
    <t>Full Metal Wing</t>
  </si>
  <si>
    <t>Defence +4, Counter +5, Skill) Count Zero</t>
  </si>
  <si>
    <t>Zero Wing</t>
  </si>
  <si>
    <t>Cosmic Wing</t>
  </si>
  <si>
    <t>Defence +4, Counter +5, Skill) Hell Dive</t>
  </si>
  <si>
    <t>Cosmo Wing</t>
  </si>
  <si>
    <t>Skill) Hyper Boom</t>
  </si>
  <si>
    <t>Defence +4, Counter +5, Agility +2,</t>
  </si>
  <si>
    <t>Sonic Wing</t>
  </si>
  <si>
    <t>Silk Wing</t>
  </si>
  <si>
    <t>Defence +4, Counter +5, Regen: 3HP a turn</t>
  </si>
  <si>
    <t>Sylph Wing</t>
  </si>
  <si>
    <t>Defence +4, Counter +5</t>
  </si>
  <si>
    <t>B</t>
  </si>
  <si>
    <t>Battle Wing</t>
  </si>
  <si>
    <t>Defence 3, Counter +5</t>
  </si>
  <si>
    <t>C</t>
  </si>
  <si>
    <t>Holy</t>
  </si>
  <si>
    <t>Silver Wing</t>
  </si>
  <si>
    <t>Defence +2, Counter +4</t>
  </si>
  <si>
    <t>Metal Wing</t>
  </si>
  <si>
    <t>Defence +1, Counter +3</t>
  </si>
  <si>
    <t>Light Wing</t>
  </si>
  <si>
    <t>Image</t>
  </si>
  <si>
    <t>Notes</t>
  </si>
  <si>
    <t>Magic UP</t>
  </si>
  <si>
    <t>ATK UP</t>
  </si>
  <si>
    <t>Property</t>
  </si>
  <si>
    <t>Power</t>
  </si>
  <si>
    <t>Range</t>
  </si>
  <si>
    <t>Value</t>
  </si>
  <si>
    <t>Wing (Weapon Class = Sword)</t>
  </si>
  <si>
    <t>Skill) Takion Shoot, Magic) Spark</t>
  </si>
  <si>
    <t>Defence +4, Regen: 2MP a turn,</t>
  </si>
  <si>
    <t>Eternal Wand</t>
  </si>
  <si>
    <t>Magic) Proserpina</t>
  </si>
  <si>
    <t>Defence +3, Ice resist +40,</t>
  </si>
  <si>
    <t>Abyss Wand</t>
  </si>
  <si>
    <t>Lightning resist +40, Magic) Thor</t>
  </si>
  <si>
    <t>Earth Wand</t>
  </si>
  <si>
    <t>Wendigo Wand</t>
  </si>
  <si>
    <t>Defence +8, Magic) Wendigo</t>
  </si>
  <si>
    <t>Wand of Kadas</t>
  </si>
  <si>
    <t>Volcano Wand</t>
  </si>
  <si>
    <t>Fire resist +30, Magic) Phoenix</t>
  </si>
  <si>
    <t>Volcanon Wand</t>
  </si>
  <si>
    <t>Luck +2, Magic) Attack</t>
  </si>
  <si>
    <t>Witch Wand</t>
  </si>
  <si>
    <t>Jewel Wand</t>
  </si>
  <si>
    <t>Skill) Lyanan Shii</t>
  </si>
  <si>
    <t>Charm Wand</t>
  </si>
  <si>
    <t>Jester Wand</t>
  </si>
  <si>
    <t>Skill) Fetamorgana, Magic) Slow</t>
  </si>
  <si>
    <t>Fool Wand</t>
  </si>
  <si>
    <t>Angel Wand</t>
  </si>
  <si>
    <t>Magic) Blaze</t>
  </si>
  <si>
    <t>Anger Wand</t>
  </si>
  <si>
    <t>Magic) Sleep</t>
  </si>
  <si>
    <t>Magic Wand</t>
  </si>
  <si>
    <t>Small Wand</t>
  </si>
  <si>
    <t>Simple Wand</t>
  </si>
  <si>
    <t>Wand (Weapon Class = Demon)</t>
  </si>
  <si>
    <t>Fire resist +20, Heat Cyclone</t>
  </si>
  <si>
    <t>1~2</t>
  </si>
  <si>
    <t>Arrow Axe</t>
  </si>
  <si>
    <t>Bow</t>
  </si>
  <si>
    <t>1~3</t>
  </si>
  <si>
    <t>Super Axe</t>
  </si>
  <si>
    <t>Skill) Fatal Strike</t>
  </si>
  <si>
    <t>Accurate Axe</t>
  </si>
  <si>
    <t>Critical +10</t>
  </si>
  <si>
    <t>Demon</t>
  </si>
  <si>
    <t>Iron Hand Axe</t>
  </si>
  <si>
    <t>Hand Axe</t>
  </si>
  <si>
    <t>Skill) Mirage Round</t>
  </si>
  <si>
    <t>Light + Dark resist +30,</t>
  </si>
  <si>
    <t>Shining Sword</t>
  </si>
  <si>
    <t>Ice resist +20, Skill) Gold Rush</t>
  </si>
  <si>
    <t>Sword of Lord</t>
  </si>
  <si>
    <t>Dark Sword</t>
  </si>
  <si>
    <t>Light resist +20, cursed, Skill) Soul Eater</t>
  </si>
  <si>
    <t>Darkside Sword</t>
  </si>
  <si>
    <t>Light + Dark resist +20, Skill) Shine Edge</t>
  </si>
  <si>
    <t>Justice Sword</t>
  </si>
  <si>
    <t>Magic) Phoenix</t>
  </si>
  <si>
    <t>Phoenix Sword</t>
  </si>
  <si>
    <t>Fire + Lightning + Wind resist +30,</t>
  </si>
  <si>
    <t>Element Sword</t>
  </si>
  <si>
    <t>Leviathan</t>
  </si>
  <si>
    <t>Fire resist +30, Skill) Heatwave</t>
  </si>
  <si>
    <t>Levantine</t>
  </si>
  <si>
    <t>Shiva Sword</t>
  </si>
  <si>
    <t>Lightning resist +30, Skill) Thundershock</t>
  </si>
  <si>
    <t>Sword of Shiva</t>
  </si>
  <si>
    <t>Counter +20</t>
  </si>
  <si>
    <t>Counter Sword</t>
  </si>
  <si>
    <t>Great Sword</t>
  </si>
  <si>
    <t>Bastard Sword</t>
  </si>
  <si>
    <t>Broad Sword</t>
  </si>
  <si>
    <t>Steel Sword</t>
  </si>
  <si>
    <t>Sword (Weapon Class = Sword)</t>
  </si>
  <si>
    <t>Skill) Salamander Throw</t>
  </si>
  <si>
    <t>Fire resist +20, Agility +3,</t>
  </si>
  <si>
    <t>Mercurius Spear</t>
  </si>
  <si>
    <t>Rune Spear</t>
  </si>
  <si>
    <t>Light resist +25, Skill) Light Geyser</t>
  </si>
  <si>
    <t>Lancelot Spear</t>
  </si>
  <si>
    <t>Counter Spear</t>
  </si>
  <si>
    <t>Silver Spear</t>
  </si>
  <si>
    <t>Javelin</t>
  </si>
  <si>
    <t>Battle Spear</t>
  </si>
  <si>
    <t>Power Spear</t>
  </si>
  <si>
    <t>Spear (Weapon Class = Polearm)</t>
  </si>
  <si>
    <t>Skill) Dark Demon Shuriken</t>
  </si>
  <si>
    <t>Dark resist +30,</t>
  </si>
  <si>
    <t>2~3</t>
  </si>
  <si>
    <t>Dark Demon Shuriken</t>
  </si>
  <si>
    <t>Wind Star</t>
  </si>
  <si>
    <t>Skill) Wind Demon Shuriken</t>
  </si>
  <si>
    <t>Wind Demon Shuriken</t>
  </si>
  <si>
    <t>Octagon Star</t>
  </si>
  <si>
    <t>Skill) Utter Chaos</t>
  </si>
  <si>
    <t>All Directions Shuriken</t>
  </si>
  <si>
    <t>Deadly Star</t>
  </si>
  <si>
    <t>Lightning resist +30, Skill) Thunder Array</t>
  </si>
  <si>
    <t>Purple Thunder Manji</t>
  </si>
  <si>
    <t>Shaken</t>
  </si>
  <si>
    <t>Triple Shuriken/ Shuttle Knife</t>
  </si>
  <si>
    <t>Manji Shuriken/ Seeker Knife</t>
  </si>
  <si>
    <t>Cross Shuriken/ Flick Knife</t>
  </si>
  <si>
    <t>Throwing Star/ Short Knife</t>
  </si>
  <si>
    <t>Shuriken/ Throwing Knife (Weapon Class = Arrow)</t>
  </si>
  <si>
    <t>Skill) Muzzle Blast</t>
  </si>
  <si>
    <t>Magic</t>
  </si>
  <si>
    <t>Hot Rod Shell</t>
  </si>
  <si>
    <t>Meteor Bow</t>
  </si>
  <si>
    <t>Skill) Planet Dance</t>
  </si>
  <si>
    <t>Meteo Shot</t>
  </si>
  <si>
    <t>Storm Bow</t>
  </si>
  <si>
    <t>Agility +3, Skill) Desert Storm</t>
  </si>
  <si>
    <t>Storm Shot</t>
  </si>
  <si>
    <t>Magnum Bow</t>
  </si>
  <si>
    <t>Magnum Shell</t>
  </si>
  <si>
    <t>Elven Bow</t>
  </si>
  <si>
    <t>Buster Shot</t>
  </si>
  <si>
    <t>Heavy Long Bow</t>
  </si>
  <si>
    <t>Great Shell</t>
  </si>
  <si>
    <t>Long Bow</t>
  </si>
  <si>
    <t>Assault Shell</t>
  </si>
  <si>
    <t>Simple Shell</t>
  </si>
  <si>
    <t>Shell (Weapon Class = Arrow)</t>
  </si>
  <si>
    <t>Defence +6, Skill) Lured Heaven,</t>
  </si>
  <si>
    <t>Rod of Will</t>
  </si>
  <si>
    <t>Skill) Demon Breath, cursed</t>
  </si>
  <si>
    <t>Demon Rod</t>
  </si>
  <si>
    <t>Tiamat Rod</t>
  </si>
  <si>
    <t>Defence +5, Movement +1, Luck +2, Magic) Tiamat</t>
  </si>
  <si>
    <t>Crystal Rod</t>
  </si>
  <si>
    <t>Magic) Hell Dragon</t>
  </si>
  <si>
    <t>Defence +7, Fire resist +40,</t>
  </si>
  <si>
    <t>Dragon Rod</t>
  </si>
  <si>
    <t>Skill) Change Gold, Magic) Soul Steal</t>
  </si>
  <si>
    <t>Soul Rod</t>
  </si>
  <si>
    <t>Agility +4, Regen: 3HP a turn,</t>
  </si>
  <si>
    <t>Alchemy Rod</t>
  </si>
  <si>
    <t>Sleepy Rod</t>
  </si>
  <si>
    <t>Regen: 2MP a turn, Skill) Meta Dream,</t>
  </si>
  <si>
    <t>Milky Rod</t>
  </si>
  <si>
    <t>Torture Rod</t>
  </si>
  <si>
    <t>Skill) Nine Gate, Magic) Confuse</t>
  </si>
  <si>
    <t>Maze Rod</t>
  </si>
  <si>
    <t>Defence +3, Magic) Golem</t>
  </si>
  <si>
    <t>Rod of the Earth</t>
  </si>
  <si>
    <t>Magic) Freeze</t>
  </si>
  <si>
    <t>Talisman Rod</t>
  </si>
  <si>
    <t>Magic) Anti-spell</t>
  </si>
  <si>
    <t>Bronze Rod</t>
  </si>
  <si>
    <t>Wooden Rod</t>
  </si>
  <si>
    <t>Iron Rod</t>
  </si>
  <si>
    <t>Timber Rod</t>
  </si>
  <si>
    <t>Rod (Weapon Class = Magic)</t>
  </si>
  <si>
    <t>Agility +5, Critical +5, Regen: 3MP a turn, Skill) Absolute Zero</t>
  </si>
  <si>
    <t>Ark Rapier</t>
  </si>
  <si>
    <t>Agility +5, Critical +5, Regen: 2HP a turn, Skill) Helical Spin</t>
  </si>
  <si>
    <t>Nebula Rapier</t>
  </si>
  <si>
    <t>Agility +5, Critical +5, Regen: 2MP a turn, Skill) Das Ende</t>
  </si>
  <si>
    <t>Final Rapier</t>
  </si>
  <si>
    <t>Dark + Light resist + 20, Magic) Thanatos</t>
  </si>
  <si>
    <t>God Rapier</t>
  </si>
  <si>
    <t>Shiny Rapier</t>
  </si>
  <si>
    <t>Agility +5, Critical +5, Regen: 3HP a turn, Skill) Alchemist</t>
  </si>
  <si>
    <t>Shine Rapier</t>
  </si>
  <si>
    <t>Mist Rapier</t>
  </si>
  <si>
    <t>Agility +5, Critical +5, Regen: 2MP a turn, Skill) Rune Magic</t>
  </si>
  <si>
    <t>Magic Rapier</t>
  </si>
  <si>
    <t>Agility +8, Critical +5, Skill) Mist Feint</t>
  </si>
  <si>
    <t>Agility +4, Critical +5, Counter +3</t>
  </si>
  <si>
    <t>Master Rapier</t>
  </si>
  <si>
    <t>Foil</t>
  </si>
  <si>
    <t>Agility +3, Critical +5</t>
  </si>
  <si>
    <t>Battle Rapier</t>
  </si>
  <si>
    <t>Epee</t>
  </si>
  <si>
    <t>Agility +2, Critical +4</t>
  </si>
  <si>
    <t>Light Rapier</t>
  </si>
  <si>
    <t>Agility +1, Critical +2</t>
  </si>
  <si>
    <t>Main Gauche</t>
  </si>
  <si>
    <t>Rapier (Weapon Class = Sword)</t>
  </si>
  <si>
    <t>Light + Dark resist +20, Skill) Prism Ray</t>
  </si>
  <si>
    <t>Doppler Quarrel</t>
  </si>
  <si>
    <t>Skill) Hell's Wind</t>
  </si>
  <si>
    <t>Sonic X-Bow</t>
  </si>
  <si>
    <t>Critical +5, Wind + Dark resist +30,</t>
  </si>
  <si>
    <t>Sonic Quarrel</t>
  </si>
  <si>
    <t>Skill) Saint Flame</t>
  </si>
  <si>
    <t>Flame X-Bow</t>
  </si>
  <si>
    <t>Critical +5, Fire + Light resist +30,</t>
  </si>
  <si>
    <t>Flame Quarrel</t>
  </si>
  <si>
    <t>Hunter X-Bow</t>
  </si>
  <si>
    <t>Critical +15</t>
  </si>
  <si>
    <t>Mithril Quarrel</t>
  </si>
  <si>
    <t>Arbalest</t>
  </si>
  <si>
    <t>Critical +5</t>
  </si>
  <si>
    <t>Heavy Quarrel</t>
  </si>
  <si>
    <t>Heavy X-Bow</t>
  </si>
  <si>
    <t>Middle Quarrel</t>
  </si>
  <si>
    <t>Light X-Bow</t>
  </si>
  <si>
    <t>Critical +4</t>
  </si>
  <si>
    <t>Light Quarrel</t>
  </si>
  <si>
    <t>Hand X-Bow</t>
  </si>
  <si>
    <t>Critical +3</t>
  </si>
  <si>
    <t>Small Quarrel</t>
  </si>
  <si>
    <t>Quarrel (Weapon Class = Arrow)</t>
  </si>
  <si>
    <t>Skill) Geo Spark</t>
  </si>
  <si>
    <t>Geo Hammer</t>
  </si>
  <si>
    <t>Macho Maul</t>
  </si>
  <si>
    <t>Defence +2, Skill) Pressure Bomb</t>
  </si>
  <si>
    <t>Masculine Mace</t>
  </si>
  <si>
    <t>Power Hammer</t>
  </si>
  <si>
    <t>Counter +5, Skill) Thunderstorm</t>
  </si>
  <si>
    <t>Thor Hammer</t>
  </si>
  <si>
    <t>Revenge Mace</t>
  </si>
  <si>
    <t>Saint's Mace</t>
  </si>
  <si>
    <t>Regen: 3HP a turn</t>
  </si>
  <si>
    <t>Saint Mace</t>
  </si>
  <si>
    <t>Battle Mace</t>
  </si>
  <si>
    <t>Flail</t>
  </si>
  <si>
    <t>Heavy Mace</t>
  </si>
  <si>
    <t>Middle Mace</t>
  </si>
  <si>
    <t>Light Mace</t>
  </si>
  <si>
    <t>Mace (Weapon Class = Axe)</t>
  </si>
  <si>
    <t>Skill) Mega Reap</t>
  </si>
  <si>
    <t>Bozon Lance</t>
  </si>
  <si>
    <t>Ultra Lance</t>
  </si>
  <si>
    <t>Skill) Death Charge</t>
  </si>
  <si>
    <t>Gungnir</t>
  </si>
  <si>
    <t>Skill) Dragon Breath</t>
  </si>
  <si>
    <t>Dragon Lance</t>
  </si>
  <si>
    <t>Holy Lance</t>
  </si>
  <si>
    <t>Nelson Lance</t>
  </si>
  <si>
    <t>Agility +5, Use for magic) Support Lv2</t>
  </si>
  <si>
    <t>Gale Lance</t>
  </si>
  <si>
    <t>Steel Lance</t>
  </si>
  <si>
    <t>Chrome Lance</t>
  </si>
  <si>
    <t>Heavy Lance</t>
  </si>
  <si>
    <t>Iron Lance</t>
  </si>
  <si>
    <t>Bronze Lance</t>
  </si>
  <si>
    <t>Lance (Weapon Class = Polearm)</t>
  </si>
  <si>
    <t>Critical +4, Ice resist +20, Wind resist +30, Skill) Yellow Dragon Wave</t>
  </si>
  <si>
    <t>Aura Knuckle</t>
  </si>
  <si>
    <t>Skill) Back Step Blinding Fist</t>
  </si>
  <si>
    <t>Wire Cestus</t>
  </si>
  <si>
    <t>Critical +4, Counter +15,</t>
  </si>
  <si>
    <t>Wire Knuckle</t>
  </si>
  <si>
    <t>Skill) Buddha's Palm Mirage</t>
  </si>
  <si>
    <t>Mist Cestus</t>
  </si>
  <si>
    <t>Critical +4, Agility +6,</t>
  </si>
  <si>
    <t>Mist Knuckle</t>
  </si>
  <si>
    <t>Giant Cestus</t>
  </si>
  <si>
    <t>Critical +15, Defence +8</t>
  </si>
  <si>
    <t>Giant Knuckle</t>
  </si>
  <si>
    <t>Steel Cestus</t>
  </si>
  <si>
    <t>Hard Knuckle</t>
  </si>
  <si>
    <t>Iron Cestus</t>
  </si>
  <si>
    <t>Brass Knuckle</t>
  </si>
  <si>
    <t>Cestus</t>
  </si>
  <si>
    <t>Razor Knuckle</t>
  </si>
  <si>
    <t>Bare Knuckle</t>
  </si>
  <si>
    <t>Knuckle (Weapon Class = None)</t>
  </si>
  <si>
    <t>Dark Resist +10, Skill) Bloodsucker</t>
  </si>
  <si>
    <t>Reaper Knife</t>
  </si>
  <si>
    <t>Killer Knife</t>
  </si>
  <si>
    <t>Luck +2, Skill) Silent Kill</t>
  </si>
  <si>
    <t>Assassin Knife</t>
  </si>
  <si>
    <t>Butter Knife</t>
  </si>
  <si>
    <t>Agility +3, Skill) Rainbow Edge</t>
  </si>
  <si>
    <t>Butterfly Knife</t>
  </si>
  <si>
    <t>Mithril Dirk</t>
  </si>
  <si>
    <t>Mithril Knife</t>
  </si>
  <si>
    <t>Hunter Knife</t>
  </si>
  <si>
    <t>Steel Knife</t>
  </si>
  <si>
    <t>Bronze Knife</t>
  </si>
  <si>
    <t>Simple Knife</t>
  </si>
  <si>
    <t>Knife (Weapon Class = Sword)</t>
  </si>
  <si>
    <t>Skill) Annihilation, cursed</t>
  </si>
  <si>
    <t>Kusanagi/ Wyvern Dagger</t>
  </si>
  <si>
    <t>Magic) Gaki-Oh, cursed</t>
  </si>
  <si>
    <t>Murasame/ Shadow Dagger</t>
  </si>
  <si>
    <t>Skill) Frost Blade</t>
  </si>
  <si>
    <t>Masamune/ Crystal Shard</t>
  </si>
  <si>
    <t>Skill) Yellow Spring Road, cursed</t>
  </si>
  <si>
    <t>Muramasa/ Venom Dagger</t>
  </si>
  <si>
    <t>Rumbling Sea</t>
  </si>
  <si>
    <t>Skill) Secret Sword - Marine Monster</t>
  </si>
  <si>
    <t>Rumbling Sea Katana/ Dagger</t>
  </si>
  <si>
    <t>Bone Eater</t>
  </si>
  <si>
    <t>Skill) Secret Sword - Ghoul Centipede</t>
  </si>
  <si>
    <t>Bone Eater Katana/ Dagger</t>
  </si>
  <si>
    <t>Use for magic) Hell Blast Lv2</t>
  </si>
  <si>
    <t>Wind Cutter</t>
  </si>
  <si>
    <t>Skill) Secret Sword - Kamataichi,</t>
  </si>
  <si>
    <t>Wind Cutter Katana/ Dagger</t>
  </si>
  <si>
    <t>Steel Ninjato</t>
  </si>
  <si>
    <t>Fine Ninja Katana/ Thieves Dagger</t>
  </si>
  <si>
    <t>Ninja Katana/ Razor Dagger</t>
  </si>
  <si>
    <t>Small Katana/ Punching Dagger</t>
  </si>
  <si>
    <t>Light Katana/ Dagger</t>
  </si>
  <si>
    <t>Katana/ Dagger (Weapon Class = Sword)</t>
  </si>
  <si>
    <t>Skill) Gorgon Buster</t>
  </si>
  <si>
    <t>Buster Halberd</t>
  </si>
  <si>
    <t>Dark Halberd</t>
  </si>
  <si>
    <t>Skill) Death Gate, cursed</t>
  </si>
  <si>
    <t>Evil Halberd</t>
  </si>
  <si>
    <t>Skill) Lightning, Use for magic) Spark Lv3</t>
  </si>
  <si>
    <t>Ark Halberd</t>
  </si>
  <si>
    <t>Star Halberd</t>
  </si>
  <si>
    <t>Counter +10, Skill) Lord Rush</t>
  </si>
  <si>
    <t>Lord Halberd</t>
  </si>
  <si>
    <t>Holy Halberd</t>
  </si>
  <si>
    <t>Defence +3, Regen: 3HP a turn</t>
  </si>
  <si>
    <t>Brave Halberd</t>
  </si>
  <si>
    <t>Poleaxe</t>
  </si>
  <si>
    <t>Knight Halberd</t>
  </si>
  <si>
    <t>Heavy Halberd</t>
  </si>
  <si>
    <t>Pike</t>
  </si>
  <si>
    <t>Halberd (Weapon Class = Polearm)</t>
  </si>
  <si>
    <t>Counter +4, Critical +5, Ice resist +30, Skill) Scarlet Sparrow Tumble</t>
  </si>
  <si>
    <t>Kokyuto's Glove</t>
  </si>
  <si>
    <t>Skill) Jewel Palm</t>
  </si>
  <si>
    <t>Pretty Glove</t>
  </si>
  <si>
    <t>Counter +4, Critical +5, Agility +5,</t>
  </si>
  <si>
    <t>Jewelery Glove</t>
  </si>
  <si>
    <t>Skill) All Creation Blast</t>
  </si>
  <si>
    <t>Counter +4, Critical +10,</t>
  </si>
  <si>
    <t>Magna Glove</t>
  </si>
  <si>
    <t>Counter +4, Critical +5, Lightning resist +40, Use for magic) Spark Lv2</t>
  </si>
  <si>
    <t>Spark Glove</t>
  </si>
  <si>
    <t>Use for magic) Attack Lv1</t>
  </si>
  <si>
    <t>Skill) Phoenix Sky Dance,</t>
  </si>
  <si>
    <t>Counter +4, Critical +5, Defence +5,</t>
  </si>
  <si>
    <t>Muscle Glove</t>
  </si>
  <si>
    <t>Spiked Glove</t>
  </si>
  <si>
    <t>Counter +4, Critical +20</t>
  </si>
  <si>
    <t>Spike Glove</t>
  </si>
  <si>
    <t>Steel Glove</t>
  </si>
  <si>
    <t>Counter +4, Critical +5</t>
  </si>
  <si>
    <t>Thorn Glove</t>
  </si>
  <si>
    <t>Iron Glove</t>
  </si>
  <si>
    <t>Power Glove</t>
  </si>
  <si>
    <t>Cloth Glove</t>
  </si>
  <si>
    <t>Counter +4, Critical +4</t>
  </si>
  <si>
    <t>Razor Glove</t>
  </si>
  <si>
    <t>Padded Glove</t>
  </si>
  <si>
    <t>Glove (Weapon Class = None)</t>
  </si>
  <si>
    <t>Skill) Change Dragon</t>
  </si>
  <si>
    <t>Counter +5, Critical +10,</t>
  </si>
  <si>
    <t>Dragonman Claw</t>
  </si>
  <si>
    <t>Skill) Wargod Incarnation</t>
  </si>
  <si>
    <t>Counter +5, Fire resist +20,</t>
  </si>
  <si>
    <t>Gehenna Claw</t>
  </si>
  <si>
    <t>Pokey Claw</t>
  </si>
  <si>
    <t>Counter +5, cursed, Skill) Venom Fang</t>
  </si>
  <si>
    <t>Jigitari's Claw</t>
  </si>
  <si>
    <t>Counter +20, Use for) Berserk</t>
  </si>
  <si>
    <t>Berserk Claw</t>
  </si>
  <si>
    <t>Counter +5, Critical +5, Skill) Storm Fang</t>
  </si>
  <si>
    <t>Tiger Claw</t>
  </si>
  <si>
    <t>Counter +5, Critical +10</t>
  </si>
  <si>
    <t>Mithril Claw</t>
  </si>
  <si>
    <t>Counter +5</t>
  </si>
  <si>
    <t>Battle Claw</t>
  </si>
  <si>
    <t>Steel Claw</t>
  </si>
  <si>
    <t>Iron Claw</t>
  </si>
  <si>
    <t>Power Claw</t>
  </si>
  <si>
    <t>Bronze Claw</t>
  </si>
  <si>
    <t>Counter +4</t>
  </si>
  <si>
    <t>Claw (Weapon Class = None)</t>
  </si>
  <si>
    <t>Light + Dark resist +30, Skill) Force Edge</t>
  </si>
  <si>
    <t>Vandal</t>
  </si>
  <si>
    <t>Force Blade</t>
  </si>
  <si>
    <t>Lightning resist +20, Skill) Element Flare</t>
  </si>
  <si>
    <t>Varion Blade</t>
  </si>
  <si>
    <t>Light resist -20, Dark resist +20, cursed, Magic) Chaos Gate</t>
  </si>
  <si>
    <t>Chaos Blade</t>
  </si>
  <si>
    <t>Dark resist +20, Skill) Venom Edge</t>
  </si>
  <si>
    <t>Venom Blade</t>
  </si>
  <si>
    <t>Skill) Light Sphere</t>
  </si>
  <si>
    <t>Photon Blade</t>
  </si>
  <si>
    <t>Skill) Light Cross</t>
  </si>
  <si>
    <t>Rune Blade</t>
  </si>
  <si>
    <t>Skill) Melt Armour</t>
  </si>
  <si>
    <t>Luster Blade</t>
  </si>
  <si>
    <t>Steel Blade</t>
  </si>
  <si>
    <t>Chrome Blade</t>
  </si>
  <si>
    <t>Battle Blade</t>
  </si>
  <si>
    <t>Iron Blade</t>
  </si>
  <si>
    <t>Light Blade</t>
  </si>
  <si>
    <t>Blade (Weapon Class = Sword)</t>
  </si>
  <si>
    <t>Fire resist +30, Skill) Corona Wheel</t>
  </si>
  <si>
    <t>Apollon Axe</t>
  </si>
  <si>
    <t>Skill) Death Wheel</t>
  </si>
  <si>
    <t>Sorrow Axe</t>
  </si>
  <si>
    <t>Dark Resist +20, cursed,</t>
  </si>
  <si>
    <t>Defence +2, Agility +5, Regen: 2HP a turn, Skill) Giga Wheel, Use for magic) Aura Lv1</t>
  </si>
  <si>
    <t>Gaia Axe</t>
  </si>
  <si>
    <t>Sharp Axe</t>
  </si>
  <si>
    <t>Critical +5, Fire + Ice resist +20</t>
  </si>
  <si>
    <t>Dragon Axe</t>
  </si>
  <si>
    <t>Gigantic Axe</t>
  </si>
  <si>
    <t>Defence +2, Skill) Ragnarok</t>
  </si>
  <si>
    <t>Giant Axe</t>
  </si>
  <si>
    <t>Fire resist +10, Use for magic) Blaze Lv2</t>
  </si>
  <si>
    <t>Heat Axe</t>
  </si>
  <si>
    <t>Small Axe</t>
  </si>
  <si>
    <t>Skill) Star Dust</t>
  </si>
  <si>
    <t>Sagittarius Arrow</t>
  </si>
  <si>
    <t>Kantar's Bow</t>
  </si>
  <si>
    <t>Skill) Poison Arrow, cursed</t>
  </si>
  <si>
    <t>Kantarera Arrow</t>
  </si>
  <si>
    <t>Breaker Bow</t>
  </si>
  <si>
    <t>Defence +7, Skill) Spell Virus</t>
  </si>
  <si>
    <t>Demon Breaker Arrow</t>
  </si>
  <si>
    <t>Dragon Arrow</t>
  </si>
  <si>
    <t>Defence +5, Skill) Dragon Snipe</t>
  </si>
  <si>
    <t>Arrow of Dragonbone</t>
  </si>
  <si>
    <t>Moon Bow</t>
  </si>
  <si>
    <t>Regen: 3HP a turn, Skill) Lunatic, Use for magic) Berserk</t>
  </si>
  <si>
    <t>Arrow of the Moonlight</t>
  </si>
  <si>
    <t>King's Bow</t>
  </si>
  <si>
    <t>King's Arrow</t>
  </si>
  <si>
    <t>Faerie Bow</t>
  </si>
  <si>
    <t>Robin Arrow</t>
  </si>
  <si>
    <t>Short Bow</t>
  </si>
  <si>
    <t>Steel Arrow</t>
  </si>
  <si>
    <t>Small Bow</t>
  </si>
  <si>
    <t>Wooden Arrow</t>
  </si>
  <si>
    <t>Arrow (Weapon Class = Arrow)</t>
  </si>
  <si>
    <t>Regen: 5HP a turn, Magic) Resist</t>
  </si>
  <si>
    <t>Skill) Thorn Crown Commandment,</t>
  </si>
  <si>
    <t>Golgoda Ankh</t>
  </si>
  <si>
    <t>Magic) Zephyrus</t>
  </si>
  <si>
    <t>Defence +5, Wind resist +40,</t>
  </si>
  <si>
    <t>Raphael Ankh</t>
  </si>
  <si>
    <t>Magic) Thanatos</t>
  </si>
  <si>
    <t>ONLY</t>
  </si>
  <si>
    <t>Mitra Ankh</t>
  </si>
  <si>
    <t>Dark resist +10, Light resist +20,</t>
  </si>
  <si>
    <t>Ankh of Mitra</t>
  </si>
  <si>
    <t>Holy Ankh</t>
  </si>
  <si>
    <t>Regen: 4HP a turn, Magic) Aura</t>
  </si>
  <si>
    <t>Element Ankh</t>
  </si>
  <si>
    <t>Magic) Support</t>
  </si>
  <si>
    <t>Blessed Ankh</t>
  </si>
  <si>
    <t>Critical +15, Skill) Apostle Descent,</t>
  </si>
  <si>
    <t>Seraphic Ankh</t>
  </si>
  <si>
    <t>Silence Ankh</t>
  </si>
  <si>
    <t>Skill) Silence of Clergyman,</t>
  </si>
  <si>
    <t>Silent Ankh</t>
  </si>
  <si>
    <t>Tornado Ankh</t>
  </si>
  <si>
    <t>Counter +20, Skill) Prayer of the Ignorant, Magic) Hell Blast</t>
  </si>
  <si>
    <t>Druid Ankh</t>
  </si>
  <si>
    <t>Misty Ankh</t>
  </si>
  <si>
    <t>Magic) Resist</t>
  </si>
  <si>
    <t>Mystery Ankh</t>
  </si>
  <si>
    <t>Saint Ankh</t>
  </si>
  <si>
    <t>Magic) Hell Blast</t>
  </si>
  <si>
    <t>Power Ankh</t>
  </si>
  <si>
    <t>Wooden Ankh</t>
  </si>
  <si>
    <t>Ankh (Weapon Class = Holy)</t>
  </si>
  <si>
    <t>Since the list is very long, it has been split up over three pages to reduce the size of each page. The links to access the other pages are at the top right and bottom right of the weapons list.</t>
  </si>
  <si>
    <t>Weapon Skill Lv3</t>
  </si>
  <si>
    <t>Weapon Skill Lv2</t>
  </si>
  <si>
    <t>Weapon Skill Lv1</t>
  </si>
  <si>
    <t>Weapon Magic Bonus'</t>
  </si>
  <si>
    <t>Additionally, some weapons give boosts to our magic power. Like with power, these weapons are divided into three classes (if the weapon has a magical class at all that is), and they boost your magic power by a different amount depending on your weapon skill and the weapon's magic class.</t>
  </si>
  <si>
    <t>Weapon Power Bonus'</t>
  </si>
  <si>
    <r>
      <t xml:space="preserve">Because some weapons are only available in certain situations they have been colour coded. Weapons appearing with their names in </t>
    </r>
    <r>
      <rPr>
        <b/>
        <sz val="10"/>
        <color rgb="FF000000"/>
        <rFont val="Verdana"/>
        <family val="2"/>
      </rPr>
      <t>black</t>
    </r>
    <r>
      <rPr>
        <sz val="10"/>
        <color rgb="FF000000"/>
        <rFont val="Verdana"/>
        <family val="2"/>
      </rPr>
      <t xml:space="preserve"> are available to buy in the shops, those with their names in </t>
    </r>
    <r>
      <rPr>
        <b/>
        <sz val="10"/>
        <color rgb="FFFFA500"/>
        <rFont val="Verdana"/>
        <family val="2"/>
      </rPr>
      <t>orange</t>
    </r>
    <r>
      <rPr>
        <sz val="10"/>
        <color rgb="FF000000"/>
        <rFont val="Verdana"/>
        <family val="2"/>
      </rPr>
      <t xml:space="preserve"> are weapons that can be crafted from mithril (although some can also be found in the field and from haggling storekeepers, also the later shops in scenario 3 offer mithril weapons for purchasing), those with their names in </t>
    </r>
    <r>
      <rPr>
        <b/>
        <sz val="10"/>
        <color rgb="FF800080"/>
        <rFont val="Verdana"/>
        <family val="2"/>
      </rPr>
      <t>purple</t>
    </r>
    <r>
      <rPr>
        <sz val="10"/>
        <color rgb="FF000000"/>
        <rFont val="Verdana"/>
        <family val="2"/>
      </rPr>
      <t xml:space="preserve"> can only be made by a smithy from Dark Matter, those with their names in </t>
    </r>
    <r>
      <rPr>
        <b/>
        <sz val="10"/>
        <color rgb="FF0000FF"/>
        <rFont val="Verdana"/>
        <family val="2"/>
      </rPr>
      <t>blue</t>
    </r>
    <r>
      <rPr>
        <sz val="10"/>
        <color rgb="FF000000"/>
        <rFont val="Verdana"/>
        <family val="2"/>
      </rPr>
      <t xml:space="preserve"> are only available by making weapons out of the blue material, Orifalcon - in scenario 3 - and those with their names in </t>
    </r>
    <r>
      <rPr>
        <b/>
        <sz val="10"/>
        <color rgb="FFFF0000"/>
        <rFont val="Verdana"/>
        <family val="2"/>
      </rPr>
      <t>red</t>
    </r>
    <r>
      <rPr>
        <sz val="10"/>
        <color rgb="FF000000"/>
        <rFont val="Verdana"/>
        <family val="2"/>
      </rPr>
      <t xml:space="preserve"> can only be found, and not bought (discounting haggles).</t>
    </r>
  </si>
  <si>
    <t>Anchor (Weapon Class = Axe)</t>
  </si>
  <si>
    <t>Power Anchor</t>
  </si>
  <si>
    <t>Spin Anchor</t>
  </si>
  <si>
    <t>Counter +15, Skill) Drill Smash</t>
  </si>
  <si>
    <t>Crash Anchor</t>
  </si>
  <si>
    <t>Critical +10, Skill) Hammer Throw</t>
  </si>
  <si>
    <t>Gravity Anchor</t>
  </si>
  <si>
    <t>Skill) Gestalt</t>
  </si>
  <si>
    <t>Grav Anchor</t>
  </si>
  <si>
    <t>Plasma Anchor</t>
  </si>
  <si>
    <t>Skill) Soul Grapple</t>
  </si>
  <si>
    <t>Beak (Weapon Class = none)</t>
  </si>
  <si>
    <t>Pen Beak</t>
  </si>
  <si>
    <t>Critical +5, Counter +5</t>
  </si>
  <si>
    <t>Penko Beak</t>
  </si>
  <si>
    <t>Silver Beak</t>
  </si>
  <si>
    <t>Light resist +10, Dark resist +20,</t>
  </si>
  <si>
    <t>Skill) Pen Flash</t>
  </si>
  <si>
    <t>Rainbow Beak</t>
  </si>
  <si>
    <t>Skill) Pen Expander</t>
  </si>
  <si>
    <t>Golden Beak</t>
  </si>
  <si>
    <t>Critical +5, Counter +5,</t>
  </si>
  <si>
    <t>Use for magic) random summon spell</t>
  </si>
  <si>
    <t>Note - The Golden Beak can only be obtained by haggling with the Remotest weapon merchant.</t>
  </si>
  <si>
    <t>Horn (Weapon Class = Polearm)</t>
  </si>
  <si>
    <t>Horn</t>
  </si>
  <si>
    <t>Skill) Change Virgo</t>
  </si>
  <si>
    <t>Staff (Weapon Class = Holy)</t>
  </si>
  <si>
    <t>Besem Staff</t>
  </si>
  <si>
    <t>Light + Dark resist +30, Magic) Shining</t>
  </si>
  <si>
    <t>Light + Dark resist +30, Magic) Blessing</t>
  </si>
  <si>
    <t>Talon (Weapon Class = Magic)</t>
  </si>
  <si>
    <t>Hooked Claw</t>
  </si>
  <si>
    <t>Skill) Thunder Breath</t>
  </si>
  <si>
    <t>Whip (Weapon Class = Magic)</t>
  </si>
  <si>
    <t>Chain Whip</t>
  </si>
  <si>
    <t>Love Whip</t>
  </si>
  <si>
    <t>Regen: 2HP a turn, Use for) Special attack *</t>
  </si>
  <si>
    <t>Double-headed Whip</t>
  </si>
  <si>
    <t>Skill) Balloon Bomb</t>
  </si>
  <si>
    <t>Queen Whip</t>
  </si>
  <si>
    <t>Skill) Slave Dance</t>
  </si>
  <si>
    <t>Silk Whip</t>
  </si>
  <si>
    <t>Skill) Beast Bash</t>
  </si>
  <si>
    <t>* Using the Love Whip (on an ally) will target the ally for a few points of damage, but cast attack and support on them.</t>
  </si>
  <si>
    <t>Level</t>
  </si>
  <si>
    <t>Starting</t>
  </si>
  <si>
    <t>Low</t>
  </si>
  <si>
    <t>High</t>
  </si>
  <si>
    <t>V. Low</t>
  </si>
  <si>
    <t>V.Low</t>
  </si>
  <si>
    <t>V.High</t>
  </si>
  <si>
    <t>Float</t>
  </si>
  <si>
    <t>Fly</t>
  </si>
  <si>
    <t>MOV 1</t>
  </si>
  <si>
    <t>Mod</t>
  </si>
  <si>
    <t>Promo 1</t>
  </si>
  <si>
    <t>HP 1</t>
  </si>
  <si>
    <t>MP 1</t>
  </si>
  <si>
    <t>ATT 1</t>
  </si>
  <si>
    <t>DEF 1</t>
  </si>
  <si>
    <t>AGI 1</t>
  </si>
  <si>
    <t>Promo 2</t>
  </si>
  <si>
    <t>HP 2</t>
  </si>
  <si>
    <t>MP 2</t>
  </si>
  <si>
    <t>ATT 2</t>
  </si>
  <si>
    <t>DEF 2</t>
  </si>
  <si>
    <t>AGI 2</t>
  </si>
  <si>
    <t>Step</t>
  </si>
  <si>
    <t>Sacrifice all but 1 HP to damage enemy. Regen 1HP/turn</t>
  </si>
  <si>
    <t>Initial Class</t>
  </si>
  <si>
    <t>Casi</t>
  </si>
  <si>
    <t>Egress</t>
  </si>
  <si>
    <t>Sense</t>
  </si>
  <si>
    <t>Inferno</t>
  </si>
  <si>
    <t>Ice Storm</t>
  </si>
  <si>
    <t>Charm</t>
  </si>
  <si>
    <t>Confuse</t>
  </si>
  <si>
    <t>Desoul</t>
  </si>
  <si>
    <t>Drain</t>
  </si>
  <si>
    <t>Dispel</t>
  </si>
  <si>
    <t>Sleep</t>
  </si>
  <si>
    <t>Demon King</t>
  </si>
  <si>
    <t>Hell Dragon</t>
  </si>
  <si>
    <t>Phoenix</t>
  </si>
  <si>
    <t>Proserpina</t>
  </si>
  <si>
    <t>Thantos</t>
  </si>
  <si>
    <t>Thor</t>
  </si>
  <si>
    <t>Tiamat</t>
  </si>
  <si>
    <t>Wendingo</t>
  </si>
  <si>
    <t>Zephyrus</t>
  </si>
  <si>
    <t>Antidote</t>
  </si>
  <si>
    <t>Blast</t>
  </si>
  <si>
    <t>Burst</t>
  </si>
  <si>
    <t>Resist</t>
  </si>
  <si>
    <t>Slow</t>
  </si>
  <si>
    <t>Weaken</t>
  </si>
  <si>
    <t>Raijin</t>
  </si>
  <si>
    <t>Ripsaw</t>
  </si>
  <si>
    <t>OR</t>
  </si>
  <si>
    <t>MOV</t>
  </si>
  <si>
    <t>  V.Low   Low   Mod   High   V.High      </t>
  </si>
  <si>
    <t>    HP   7   8   10   12   13      </t>
  </si>
  <si>
    <t>    MP   4   6   8   10   12      </t>
  </si>
  <si>
    <t>    ATT   3   4   5   6   7      </t>
  </si>
  <si>
    <t>    DEF   4   5   6   7   8      </t>
  </si>
  <si>
    <t>    AGI   4   5   6   7   8      </t>
  </si>
  <si>
    <t>    LCK   ~   4   5   6   ~  </t>
  </si>
  <si>
    <t>Small Katana</t>
  </si>
  <si>
    <t>15 Dark</t>
  </si>
  <si>
    <t>5 Electric</t>
  </si>
  <si>
    <t>5 Fire</t>
  </si>
  <si>
    <t>5 Ice</t>
  </si>
  <si>
    <t>5 Light</t>
  </si>
  <si>
    <t>5 Wind</t>
  </si>
  <si>
    <t>25 Fire</t>
  </si>
  <si>
    <t>5 Dark</t>
  </si>
  <si>
    <t>LUCK</t>
  </si>
  <si>
    <t>---</t>
  </si>
  <si>
    <t>LCK</t>
  </si>
  <si>
    <t>~</t>
  </si>
  <si>
    <t>Tier 1</t>
  </si>
  <si>
    <t>Vlow: +0 = 41.67%, +1 = 50%, +2 = 8.33%</t>
  </si>
  <si>
    <t>low: +0 = 25%, +1 = 66.67%, +2 = 8.33%</t>
  </si>
  <si>
    <t>Mod: +0 = 8.33%, +1 = 83.33%, +2 = 8.33%</t>
  </si>
  <si>
    <t>High: +1 = 83.33%, +2 = 16.67%</t>
  </si>
  <si>
    <t>Vhigh: +1 = 58.33%, +2 = 41.67%</t>
  </si>
  <si>
    <t>Tier 2</t>
  </si>
  <si>
    <t>Tier 3</t>
  </si>
  <si>
    <t>Valkos</t>
  </si>
  <si>
    <t>Character</t>
  </si>
  <si>
    <t>Terrain</t>
  </si>
  <si>
    <t>Moderate</t>
  </si>
  <si>
    <t>10 Dark</t>
  </si>
  <si>
    <t>10 Electric</t>
  </si>
  <si>
    <t>40 Fire</t>
  </si>
  <si>
    <t>10 Ice</t>
  </si>
  <si>
    <t>15 Ice</t>
  </si>
  <si>
    <t>10 Wind</t>
  </si>
  <si>
    <t>15 Wind</t>
  </si>
  <si>
    <t>0 Light</t>
  </si>
  <si>
    <t>15 Electric</t>
  </si>
  <si>
    <t>10 Fire</t>
  </si>
  <si>
    <t>0 Dark</t>
  </si>
  <si>
    <t>0 Electric</t>
  </si>
  <si>
    <t>0 Fire</t>
  </si>
  <si>
    <t>0 Wind</t>
  </si>
  <si>
    <t>EVA</t>
  </si>
  <si>
    <t>CRT</t>
  </si>
  <si>
    <t>CNR</t>
  </si>
  <si>
    <t>Iron Sycthe</t>
  </si>
  <si>
    <t>Blaze 1</t>
  </si>
  <si>
    <t>Affinity Order</t>
  </si>
  <si>
    <t>Special</t>
  </si>
  <si>
    <t>Water Blast</t>
  </si>
  <si>
    <t>Flame Breath</t>
  </si>
  <si>
    <t>Dragon Breath</t>
  </si>
  <si>
    <t>Flight</t>
  </si>
  <si>
    <t>Vehicle</t>
  </si>
  <si>
    <t>Fast</t>
  </si>
  <si>
    <t>Resist/Power</t>
  </si>
  <si>
    <t>30 Electric/+2</t>
  </si>
  <si>
    <t>20 Ice/+1</t>
  </si>
  <si>
    <t>30 Light/+2</t>
  </si>
  <si>
    <t>20 Wind/+1</t>
  </si>
  <si>
    <t>10 Ice/+1</t>
  </si>
  <si>
    <t>5 Fire/+1</t>
  </si>
  <si>
    <t>10 Dark/+1</t>
  </si>
  <si>
    <t>5 Ice/+1</t>
  </si>
  <si>
    <t>30 Fire/+2</t>
  </si>
  <si>
    <t>20 Electric/+1</t>
  </si>
  <si>
    <t>Weapon XP</t>
  </si>
  <si>
    <t>Unarmed</t>
  </si>
  <si>
    <t>One use per battle</t>
  </si>
  <si>
    <t>One use per , cannot be healed until back to full from regen</t>
  </si>
  <si>
    <t>Linear</t>
  </si>
  <si>
    <t>Early</t>
  </si>
  <si>
    <t>Late</t>
  </si>
  <si>
    <t>Middle</t>
  </si>
  <si>
    <t>Early + Late</t>
  </si>
  <si>
    <t>Growth Rate</t>
  </si>
  <si>
    <t>Total</t>
  </si>
  <si>
    <t>Growth Value</t>
  </si>
  <si>
    <t>Die Score</t>
  </si>
  <si>
    <t>Die Value</t>
  </si>
  <si>
    <t>TOTAL GAIN</t>
  </si>
  <si>
    <t>Minimum</t>
  </si>
  <si>
    <t>Maximum</t>
  </si>
  <si>
    <t>OVERMAX</t>
  </si>
  <si>
    <t>Average</t>
  </si>
  <si>
    <t>CURRENT</t>
  </si>
  <si>
    <t>SLOW</t>
  </si>
  <si>
    <t>FINAL</t>
  </si>
  <si>
    <t>Projected</t>
  </si>
  <si>
    <t>Growth Base</t>
  </si>
  <si>
    <t xml:space="preserve"> </t>
  </si>
  <si>
    <t>Level Gains</t>
  </si>
  <si>
    <t>Slow Gains</t>
  </si>
  <si>
    <t>TOTAL GAINS</t>
  </si>
  <si>
    <t>Sum of Gains</t>
  </si>
  <si>
    <t>FINAL GAINS</t>
  </si>
  <si>
    <t>Aron</t>
  </si>
  <si>
    <t>10 Fire/+1</t>
  </si>
  <si>
    <t>5 Light/+1</t>
  </si>
  <si>
    <t>Friendships</t>
  </si>
  <si>
    <t>LO Sama</t>
  </si>
  <si>
    <t>Current Spells</t>
  </si>
  <si>
    <t>STEP Lv 1</t>
  </si>
  <si>
    <t>MP: 4, Rng 1, AoE 0, +1 MOV, 3 turns</t>
  </si>
  <si>
    <t>STEP Lv 2</t>
  </si>
  <si>
    <t>STEP Lv 3</t>
  </si>
  <si>
    <t>MP: 15, Rng 2, AoE 1, +2 MOV, 3 turns</t>
  </si>
  <si>
    <t>STEP Lv 4</t>
  </si>
  <si>
    <t xml:space="preserve">    HP</t>
  </si>
  <si>
    <t>Early&amp;Late</t>
  </si>
  <si>
    <t xml:space="preserve">    MP</t>
  </si>
  <si>
    <t xml:space="preserve">    ATT</t>
  </si>
  <si>
    <t xml:space="preserve">    DEF</t>
  </si>
  <si>
    <t>Ealy&amp;Late</t>
  </si>
  <si>
    <t xml:space="preserve">    AGI</t>
  </si>
  <si>
    <t>All Spells</t>
  </si>
  <si>
    <t>Stat Variance</t>
  </si>
  <si>
    <t>^HP-AGI</t>
  </si>
  <si>
    <t>^DEF-AGI</t>
  </si>
  <si>
    <t>^MP,ATT-HP,AGI</t>
  </si>
  <si>
    <t>^ATT, -DEF</t>
  </si>
  <si>
    <t>^ATT-AGI</t>
  </si>
  <si>
    <t>^DEF, -AGI</t>
  </si>
  <si>
    <t>^MP, -ATT</t>
  </si>
  <si>
    <t>^HP^DEF-ATT-AGI</t>
  </si>
  <si>
    <t>Axe/Scythe (Weapon Class = Axe)</t>
  </si>
  <si>
    <t>Middle Axe/Iron Scythe</t>
  </si>
  <si>
    <t>Power Axe/Steel Scythe</t>
  </si>
  <si>
    <t>Battle Axe/Battle Scythe</t>
  </si>
  <si>
    <t>Great Axe/Dire Scythe</t>
  </si>
  <si>
    <t>Evil Axe/Reaper's Scythe</t>
  </si>
  <si>
    <t>Race</t>
  </si>
  <si>
    <t>Lizardman</t>
  </si>
  <si>
    <t>Catman</t>
  </si>
  <si>
    <t>20 Ice</t>
  </si>
  <si>
    <t>LAG Lv 1</t>
  </si>
  <si>
    <t>LAG Lv 2</t>
  </si>
  <si>
    <t>LAG Lv 3</t>
  </si>
  <si>
    <t>LAG Lv 4</t>
  </si>
  <si>
    <t>MP: 4, Rng 1, AoE 0, -1 MOV, 3 turns</t>
  </si>
  <si>
    <t>MP: 15, Rng 2, AoE 1, -2 MOV, 3 turns</t>
  </si>
  <si>
    <t>MP: 25, Rng 3, AoE 0, -2 MOV, end of battle</t>
  </si>
  <si>
    <t>Weapon Stats</t>
  </si>
  <si>
    <t>+6 [C] [AXE]</t>
  </si>
  <si>
    <t>+4 [C,C] [HOLY]</t>
  </si>
  <si>
    <t>+3 [C,C] [MAGIC]</t>
  </si>
  <si>
    <t>+5 [C] [ARROW] [R~2] [CRT+3]</t>
  </si>
  <si>
    <t>+4 [C,C] [SWORD, DEMON] [AGI+1, CRT+2]</t>
  </si>
  <si>
    <t>+5 [C] [SWORD]</t>
  </si>
  <si>
    <t>+4 [C,C] [SWORD]</t>
  </si>
  <si>
    <t>+3 [C,C] [DEMON]</t>
  </si>
  <si>
    <t>+5 [C] [POLEARM]</t>
  </si>
  <si>
    <t>Tomahawk/Sickle (Weapon Class = Axe)</t>
  </si>
  <si>
    <t>Short Axe/Short Sickle</t>
  </si>
  <si>
    <t>Tomahawk/Sickle</t>
  </si>
  <si>
    <t>Power Tomahawk/Serated Sickle</t>
  </si>
  <si>
    <t>Battle Tomahawk/Heavy Sickle</t>
  </si>
  <si>
    <t>Rune Tomahawk/Sharp Sickle</t>
  </si>
  <si>
    <t>Killer Tomahawk/Reaper Sickle</t>
  </si>
  <si>
    <t>Sky Tomahawk/Cloud Sickle</t>
  </si>
  <si>
    <t>Flame Tomahawk/Devil Sickle</t>
  </si>
  <si>
    <t>MP: 10, Rng 2, AoE 0, +1 MOV, end of battle</t>
  </si>
  <si>
    <t>MP: 25, Rng 2, AoE 1, +2 MOV, end of battle</t>
  </si>
  <si>
    <t>Rank v</t>
  </si>
  <si>
    <t>Rank ^</t>
  </si>
  <si>
    <t>#</t>
  </si>
  <si>
    <t>Rank ^^</t>
  </si>
  <si>
    <t>Rank vv</t>
  </si>
  <si>
    <t>ATT- MAGIC</t>
  </si>
  <si>
    <t>ATT- HOLY</t>
  </si>
  <si>
    <t>ATT- DEMON</t>
  </si>
  <si>
    <t>Attribute- Monster</t>
  </si>
  <si>
    <t>Resists</t>
  </si>
  <si>
    <t>Primary</t>
  </si>
  <si>
    <t>Secondary</t>
  </si>
  <si>
    <t>Elec</t>
  </si>
  <si>
    <t>D</t>
  </si>
  <si>
    <t>MP: 10, Rng 2, AoE 0, -1 MOV, end of battle</t>
  </si>
  <si>
    <t>Detox 1(6)</t>
  </si>
  <si>
    <t>Heal 1(1)</t>
  </si>
  <si>
    <t>Freeze 1(1), 2(5)</t>
  </si>
  <si>
    <t>Heal 1, Detox 1</t>
  </si>
  <si>
    <t>Freeze 1-2</t>
  </si>
  <si>
    <t>Step 1, Blaze 1</t>
  </si>
  <si>
    <t>Step 1(1)</t>
  </si>
  <si>
    <t>Blaze 1(5)</t>
  </si>
  <si>
    <t>Support 1(6)</t>
  </si>
  <si>
    <t>Kehhyo-Do 1 (6)</t>
  </si>
  <si>
    <t>Katon 1 (1)</t>
  </si>
  <si>
    <t>^ATT,AGI-HP,DEF</t>
  </si>
  <si>
    <t>Heal 1, Support 1</t>
  </si>
  <si>
    <t>Katon 1, Kehhyo-Do 1</t>
  </si>
  <si>
    <t>Burst 1-2</t>
  </si>
  <si>
    <t>Burst 1(1), 2(6)</t>
  </si>
  <si>
    <t>Weapons</t>
  </si>
  <si>
    <t>Friendship Boosts</t>
  </si>
  <si>
    <t>Base Class</t>
  </si>
  <si>
    <t>1st Promotion</t>
  </si>
  <si>
    <t>2nd Promotion</t>
  </si>
  <si>
    <t>Resists/Power</t>
  </si>
  <si>
    <t>5/5/5/5/0/0</t>
  </si>
  <si>
    <t>10[1]/5[1]/5/5/0/0</t>
  </si>
  <si>
    <t>30[2]/20[1]/15/15/15/10</t>
  </si>
  <si>
    <t>10/8/6/5/0/-5</t>
  </si>
  <si>
    <t>15[3]/10[2]/8/6/5/0</t>
  </si>
  <si>
    <t>General</t>
  </si>
  <si>
    <t>Commander</t>
  </si>
  <si>
    <t>30[5]/25[3]/20[1]/15/15/15</t>
  </si>
  <si>
    <t>Axe/Mace</t>
  </si>
  <si>
    <t>E</t>
  </si>
  <si>
    <t>15/10/8/5/0/-10</t>
  </si>
  <si>
    <t>20[4]/15[3]/10/8/6/0</t>
  </si>
  <si>
    <t>40[8]/30[5]/25[3]/20[1]/15/15</t>
  </si>
  <si>
    <t>20[5]/15[3]/10[1]/8/6/0</t>
  </si>
  <si>
    <t>20[5]/15[3]/10[1]/8/6/1</t>
  </si>
  <si>
    <t>20[5]/15[3]/10[1]/8/6/2</t>
  </si>
  <si>
    <t>MISC</t>
  </si>
  <si>
    <t>B/C</t>
  </si>
  <si>
    <t>As Militiaman, but choose one weapon from: swords, polearms and axes.</t>
  </si>
  <si>
    <t>Lag</t>
  </si>
  <si>
    <t>C/C</t>
  </si>
</sst>
</file>

<file path=xl/styles.xml><?xml version="1.0" encoding="utf-8"?>
<styleSheet xmlns="http://schemas.openxmlformats.org/spreadsheetml/2006/main">
  <numFmts count="3">
    <numFmt numFmtId="164" formatCode="0.000"/>
    <numFmt numFmtId="165" formatCode="0.0"/>
    <numFmt numFmtId="166" formatCode="\+0;\-0"/>
  </numFmts>
  <fonts count="45">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sz val="11"/>
      <color rgb="FF00B050"/>
      <name val="Calibri"/>
      <family val="2"/>
      <scheme val="minor"/>
    </font>
    <font>
      <b/>
      <i/>
      <sz val="11"/>
      <color theme="1"/>
      <name val="Calibri"/>
      <family val="2"/>
      <scheme val="minor"/>
    </font>
    <font>
      <sz val="11"/>
      <name val="Calibri"/>
      <family val="2"/>
      <scheme val="minor"/>
    </font>
    <font>
      <sz val="11"/>
      <color rgb="FF0070C0"/>
      <name val="Calibri"/>
      <family val="2"/>
      <scheme val="minor"/>
    </font>
    <font>
      <sz val="12"/>
      <color theme="1"/>
      <name val="Times New Roman"/>
      <family val="1"/>
    </font>
    <font>
      <sz val="7.5"/>
      <color theme="1"/>
      <name val="Verdana"/>
      <family val="2"/>
    </font>
    <font>
      <b/>
      <sz val="7.5"/>
      <color rgb="FF0000FF"/>
      <name val="Verdana"/>
      <family val="2"/>
    </font>
    <font>
      <b/>
      <sz val="7.5"/>
      <color rgb="FFFF0000"/>
      <name val="Verdana"/>
      <family val="2"/>
    </font>
    <font>
      <i/>
      <sz val="7.5"/>
      <color rgb="FFFFA500"/>
      <name val="Verdana"/>
      <family val="2"/>
    </font>
    <font>
      <b/>
      <sz val="7.5"/>
      <color rgb="FFFFA500"/>
      <name val="Verdana"/>
      <family val="2"/>
    </font>
    <font>
      <b/>
      <sz val="7.5"/>
      <color theme="1"/>
      <name val="Verdana"/>
      <family val="2"/>
    </font>
    <font>
      <sz val="7.5"/>
      <color rgb="FFFFFFFF"/>
      <name val="Verdana"/>
      <family val="2"/>
    </font>
    <font>
      <b/>
      <sz val="7.5"/>
      <color rgb="FFFFFFFF"/>
      <name val="Verdana"/>
      <family val="2"/>
    </font>
    <font>
      <i/>
      <sz val="7.5"/>
      <color rgb="FFFF0000"/>
      <name val="Verdana"/>
      <family val="2"/>
    </font>
    <font>
      <i/>
      <sz val="7.5"/>
      <color theme="1"/>
      <name val="Verdana"/>
      <family val="2"/>
    </font>
    <font>
      <i/>
      <sz val="7.5"/>
      <color rgb="FF800080"/>
      <name val="Verdana"/>
      <family val="2"/>
    </font>
    <font>
      <b/>
      <sz val="7.5"/>
      <color rgb="FF800080"/>
      <name val="Verdana"/>
      <family val="2"/>
    </font>
    <font>
      <sz val="10"/>
      <color rgb="FF000000"/>
      <name val="Verdana"/>
      <family val="2"/>
    </font>
    <font>
      <sz val="10"/>
      <color rgb="FF000000"/>
      <name val="Tahoma"/>
      <family val="2"/>
    </font>
    <font>
      <b/>
      <sz val="7.5"/>
      <color rgb="FFFFFFFF"/>
      <name val="Tahoma"/>
      <family val="2"/>
    </font>
    <font>
      <b/>
      <sz val="10"/>
      <color rgb="FF000000"/>
      <name val="Verdana"/>
      <family val="2"/>
    </font>
    <font>
      <b/>
      <sz val="10"/>
      <color rgb="FFFFA500"/>
      <name val="Verdana"/>
      <family val="2"/>
    </font>
    <font>
      <b/>
      <sz val="10"/>
      <color rgb="FF800080"/>
      <name val="Verdana"/>
      <family val="2"/>
    </font>
    <font>
      <b/>
      <sz val="10"/>
      <color rgb="FF0000FF"/>
      <name val="Verdana"/>
      <family val="2"/>
    </font>
    <font>
      <b/>
      <sz val="10"/>
      <color rgb="FFFF0000"/>
      <name val="Verdana"/>
      <family val="2"/>
    </font>
    <font>
      <b/>
      <sz val="7.5"/>
      <color rgb="FF000000"/>
      <name val="Verdana"/>
      <family val="2"/>
    </font>
    <font>
      <sz val="10"/>
      <name val="Arial"/>
      <family val="2"/>
    </font>
    <font>
      <b/>
      <sz val="11"/>
      <color rgb="FF0070C0"/>
      <name val="Calibri"/>
      <family val="2"/>
      <scheme val="minor"/>
    </font>
    <font>
      <b/>
      <sz val="11"/>
      <color rgb="FF217DA7"/>
      <name val="Calibri"/>
      <family val="2"/>
      <scheme val="minor"/>
    </font>
    <font>
      <b/>
      <i/>
      <sz val="1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theme="0"/>
      <name val="Calibri"/>
      <family val="2"/>
      <scheme val="minor"/>
    </font>
    <font>
      <sz val="11"/>
      <color theme="0"/>
      <name val="Calibri"/>
      <family val="2"/>
      <scheme val="minor"/>
    </font>
    <font>
      <b/>
      <sz val="10"/>
      <name val="Arial"/>
      <family val="2"/>
    </font>
    <font>
      <b/>
      <sz val="11"/>
      <color indexed="58"/>
      <name val="Calibri"/>
      <family val="2"/>
    </font>
    <font>
      <b/>
      <sz val="11"/>
      <color indexed="60"/>
      <name val="Calibri"/>
      <family val="2"/>
    </font>
    <font>
      <b/>
      <sz val="11"/>
      <color indexed="9"/>
      <name val="Calibri"/>
      <family val="2"/>
    </font>
    <font>
      <b/>
      <sz val="11"/>
      <color theme="4"/>
      <name val="Calibri"/>
      <family val="2"/>
      <scheme val="minor"/>
    </font>
    <font>
      <sz val="11"/>
      <color theme="4"/>
      <name val="Calibri"/>
      <family val="2"/>
      <scheme val="minor"/>
    </font>
  </fonts>
  <fills count="24">
    <fill>
      <patternFill patternType="none"/>
    </fill>
    <fill>
      <patternFill patternType="gray125"/>
    </fill>
    <fill>
      <patternFill patternType="solid">
        <fgColor rgb="FFFFFFCC"/>
      </patternFill>
    </fill>
    <fill>
      <patternFill patternType="solid">
        <fgColor rgb="FFEBEEF7"/>
        <bgColor indexed="64"/>
      </patternFill>
    </fill>
    <fill>
      <patternFill patternType="solid">
        <fgColor rgb="FFB0B5D6"/>
        <bgColor indexed="64"/>
      </patternFill>
    </fill>
    <fill>
      <patternFill patternType="solid">
        <fgColor rgb="FF4D5995"/>
        <bgColor indexed="64"/>
      </patternFill>
    </fill>
    <fill>
      <patternFill patternType="solid">
        <fgColor rgb="FF000000"/>
        <bgColor indexed="64"/>
      </patternFill>
    </fill>
    <fill>
      <patternFill patternType="solid">
        <fgColor rgb="FFFFFFFF"/>
        <bgColor indexed="64"/>
      </patternFill>
    </fill>
    <fill>
      <patternFill patternType="solid">
        <fgColor rgb="FF8860BE"/>
        <bgColor indexed="64"/>
      </patternFill>
    </fill>
    <fill>
      <patternFill patternType="solid">
        <fgColor theme="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4"/>
      </patternFill>
    </fill>
    <fill>
      <patternFill patternType="solid">
        <fgColor indexed="9"/>
        <bgColor indexed="64"/>
      </patternFill>
    </fill>
    <fill>
      <patternFill patternType="solid">
        <fgColor indexed="9"/>
        <bgColor indexed="34"/>
      </patternFill>
    </fill>
    <fill>
      <patternFill patternType="solid">
        <fgColor indexed="9"/>
        <bgColor indexed="18"/>
      </patternFill>
    </fill>
    <fill>
      <patternFill patternType="solid">
        <fgColor indexed="9"/>
        <bgColor indexed="29"/>
      </patternFill>
    </fill>
    <fill>
      <patternFill patternType="solid">
        <fgColor indexed="9"/>
        <bgColor indexed="52"/>
      </patternFill>
    </fill>
    <fill>
      <patternFill patternType="solid">
        <fgColor indexed="18"/>
        <bgColor indexed="32"/>
      </patternFill>
    </fill>
    <fill>
      <patternFill patternType="solid">
        <fgColor indexed="17"/>
        <bgColor indexed="57"/>
      </patternFill>
    </fill>
    <fill>
      <patternFill patternType="solid">
        <fgColor indexed="52"/>
        <bgColor indexed="29"/>
      </patternFill>
    </fill>
    <fill>
      <patternFill patternType="solid">
        <fgColor indexed="10"/>
        <bgColor indexed="53"/>
      </patternFill>
    </fill>
    <fill>
      <patternFill patternType="solid">
        <fgColor indexed="13"/>
        <bgColor indexed="34"/>
      </patternFill>
    </fill>
  </fills>
  <borders count="15">
    <border>
      <left/>
      <right/>
      <top/>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s>
  <cellStyleXfs count="12">
    <xf numFmtId="0" fontId="0" fillId="0" borderId="0"/>
    <xf numFmtId="0" fontId="30" fillId="0" borderId="0"/>
    <xf numFmtId="0" fontId="30" fillId="2" borderId="1" applyNumberFormat="0" applyFont="0" applyAlignment="0" applyProtection="0"/>
    <xf numFmtId="0" fontId="34" fillId="10" borderId="0" applyNumberFormat="0" applyBorder="0" applyAlignment="0" applyProtection="0"/>
    <xf numFmtId="0" fontId="35" fillId="11" borderId="0" applyNumberFormat="0" applyBorder="0" applyAlignment="0" applyProtection="0"/>
    <xf numFmtId="0" fontId="36" fillId="12" borderId="0" applyNumberFormat="0" applyBorder="0" applyAlignment="0" applyProtection="0"/>
    <xf numFmtId="0" fontId="38" fillId="13"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cellStyleXfs>
  <cellXfs count="218">
    <xf numFmtId="0" fontId="0" fillId="0" borderId="0" xfId="0"/>
    <xf numFmtId="0" fontId="2" fillId="0" borderId="0" xfId="0" applyFont="1"/>
    <xf numFmtId="0" fontId="1" fillId="0" borderId="0" xfId="0" applyFont="1"/>
    <xf numFmtId="0" fontId="3" fillId="0" borderId="0" xfId="0" applyFont="1"/>
    <xf numFmtId="0" fontId="0" fillId="0" borderId="0" xfId="0" applyAlignment="1">
      <alignment horizontal="center"/>
    </xf>
    <xf numFmtId="0" fontId="1" fillId="0" borderId="0" xfId="0" applyFont="1" applyAlignment="1">
      <alignment horizontal="center"/>
    </xf>
    <xf numFmtId="0" fontId="2" fillId="0" borderId="0" xfId="0" applyFont="1" applyAlignment="1">
      <alignment horizontal="center"/>
    </xf>
    <xf numFmtId="0" fontId="8" fillId="3" borderId="0" xfId="0" applyFont="1" applyFill="1" applyAlignment="1">
      <alignment horizontal="center" vertical="center" wrapText="1"/>
    </xf>
    <xf numFmtId="0" fontId="9" fillId="3" borderId="0" xfId="0" applyFont="1" applyFill="1" applyAlignment="1">
      <alignment horizontal="center" vertical="center" wrapText="1"/>
    </xf>
    <xf numFmtId="0" fontId="10" fillId="3" borderId="0" xfId="0" applyFont="1" applyFill="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11" fillId="0" borderId="0" xfId="0" applyFont="1" applyAlignment="1">
      <alignment horizontal="center" vertical="center" wrapText="1"/>
    </xf>
    <xf numFmtId="0" fontId="12" fillId="3" borderId="0" xfId="0" applyFont="1" applyFill="1" applyAlignment="1">
      <alignment horizontal="center" vertical="center" wrapText="1"/>
    </xf>
    <xf numFmtId="0" fontId="13" fillId="3" borderId="0" xfId="0" applyFont="1" applyFill="1" applyAlignment="1">
      <alignment horizontal="center" vertical="center" wrapText="1"/>
    </xf>
    <xf numFmtId="0" fontId="14" fillId="0" borderId="0" xfId="0" applyFont="1" applyAlignment="1">
      <alignment horizontal="center" vertical="center" wrapText="1"/>
    </xf>
    <xf numFmtId="0" fontId="14" fillId="3" borderId="0" xfId="0" applyFont="1" applyFill="1" applyAlignment="1">
      <alignment horizontal="center" vertical="center" wrapText="1"/>
    </xf>
    <xf numFmtId="0" fontId="15" fillId="4" borderId="0" xfId="0" applyFont="1" applyFill="1" applyAlignment="1">
      <alignment horizontal="center" vertical="center" wrapText="1"/>
    </xf>
    <xf numFmtId="0" fontId="17" fillId="3" borderId="0" xfId="0" applyFont="1" applyFill="1" applyAlignment="1">
      <alignment horizontal="center" vertical="center" wrapText="1"/>
    </xf>
    <xf numFmtId="0" fontId="11" fillId="3" borderId="0" xfId="0" applyFont="1" applyFill="1" applyAlignment="1">
      <alignment horizontal="center" vertical="center" wrapText="1"/>
    </xf>
    <xf numFmtId="0" fontId="17" fillId="0" borderId="0" xfId="0" applyFont="1" applyAlignment="1">
      <alignment horizontal="center"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8" fillId="0" borderId="0" xfId="0" applyFont="1" applyAlignment="1">
      <alignment horizontal="center" vertical="center" wrapText="1"/>
    </xf>
    <xf numFmtId="0" fontId="10" fillId="0" borderId="0" xfId="0" applyFont="1" applyAlignment="1">
      <alignment horizontal="center" vertical="center" wrapText="1"/>
    </xf>
    <xf numFmtId="0" fontId="18" fillId="3" borderId="0" xfId="0" applyFont="1" applyFill="1" applyAlignment="1">
      <alignment horizontal="center" vertical="center" wrapText="1"/>
    </xf>
    <xf numFmtId="0" fontId="19" fillId="3" borderId="0" xfId="0" applyFont="1" applyFill="1" applyAlignment="1">
      <alignment horizontal="center" vertical="center" wrapText="1"/>
    </xf>
    <xf numFmtId="0" fontId="20" fillId="3" borderId="0" xfId="0" applyFont="1" applyFill="1" applyAlignment="1">
      <alignment horizontal="center" vertical="center" wrapText="1"/>
    </xf>
    <xf numFmtId="0" fontId="0" fillId="0" borderId="0" xfId="0" applyAlignment="1">
      <alignment horizontal="center" vertical="center"/>
    </xf>
    <xf numFmtId="0" fontId="21" fillId="0" borderId="0" xfId="0" applyFont="1" applyAlignment="1">
      <alignment horizontal="center" vertical="center"/>
    </xf>
    <xf numFmtId="0" fontId="20" fillId="0" borderId="0" xfId="0" applyFont="1" applyAlignment="1">
      <alignment horizontal="center" vertical="center" wrapText="1"/>
    </xf>
    <xf numFmtId="0" fontId="19" fillId="7" borderId="0" xfId="0" applyFont="1" applyFill="1" applyAlignment="1">
      <alignment horizontal="center" vertical="center" wrapText="1"/>
    </xf>
    <xf numFmtId="0" fontId="20" fillId="7" borderId="0" xfId="0" applyFont="1" applyFill="1" applyAlignment="1">
      <alignment horizontal="center" vertical="center" wrapText="1"/>
    </xf>
    <xf numFmtId="0" fontId="12" fillId="7" borderId="0" xfId="0" applyFont="1" applyFill="1" applyAlignment="1">
      <alignment horizontal="center" vertical="center" wrapText="1"/>
    </xf>
    <xf numFmtId="0" fontId="13" fillId="7" borderId="0" xfId="0" applyFont="1" applyFill="1" applyAlignment="1">
      <alignment horizontal="center" vertical="center" wrapText="1"/>
    </xf>
    <xf numFmtId="0" fontId="18" fillId="7" borderId="0" xfId="0" applyFont="1" applyFill="1" applyAlignment="1">
      <alignment horizontal="center" vertical="center" wrapText="1"/>
    </xf>
    <xf numFmtId="0" fontId="14" fillId="7" borderId="0" xfId="0" applyFont="1" applyFill="1" applyAlignment="1">
      <alignment horizontal="center" vertical="center" wrapText="1"/>
    </xf>
    <xf numFmtId="0" fontId="8" fillId="7" borderId="0" xfId="0" applyFont="1" applyFill="1" applyAlignment="1">
      <alignment horizontal="center" vertical="center" wrapText="1"/>
    </xf>
    <xf numFmtId="0" fontId="9" fillId="7" borderId="0" xfId="0" applyFont="1" applyFill="1" applyAlignment="1">
      <alignment horizontal="center" vertical="center" wrapText="1"/>
    </xf>
    <xf numFmtId="0" fontId="10" fillId="7" borderId="0" xfId="0" applyFont="1" applyFill="1" applyAlignment="1">
      <alignment horizontal="center" vertical="center" wrapText="1"/>
    </xf>
    <xf numFmtId="0" fontId="11" fillId="7" borderId="0" xfId="0" applyFont="1" applyFill="1" applyAlignment="1">
      <alignment horizontal="center" vertical="center" wrapText="1"/>
    </xf>
    <xf numFmtId="0" fontId="17" fillId="7" borderId="0" xfId="0" applyFont="1" applyFill="1" applyAlignment="1">
      <alignment horizontal="center"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0" fillId="7" borderId="0" xfId="0" applyFill="1" applyAlignment="1">
      <alignment horizontal="center" vertical="center" wrapText="1"/>
    </xf>
    <xf numFmtId="0" fontId="0" fillId="0" borderId="0" xfId="0" applyAlignment="1">
      <alignment horizontal="center" vertical="center" wrapText="1"/>
    </xf>
    <xf numFmtId="0" fontId="31" fillId="0" borderId="0" xfId="0" applyFont="1"/>
    <xf numFmtId="0" fontId="0" fillId="0" borderId="0" xfId="0" applyFont="1" applyAlignment="1">
      <alignment horizontal="center"/>
    </xf>
    <xf numFmtId="0" fontId="7" fillId="0" borderId="0" xfId="0" applyFont="1" applyAlignment="1">
      <alignment horizontal="center"/>
    </xf>
    <xf numFmtId="0" fontId="0" fillId="0" borderId="0" xfId="0" quotePrefix="1" applyAlignment="1">
      <alignment horizontal="right"/>
    </xf>
    <xf numFmtId="0" fontId="32" fillId="0" borderId="0" xfId="0" applyFont="1"/>
    <xf numFmtId="0" fontId="0" fillId="9" borderId="0" xfId="0" applyFill="1" applyAlignment="1">
      <alignment horizontal="center"/>
    </xf>
    <xf numFmtId="0" fontId="6" fillId="0" borderId="0" xfId="0" applyFont="1" applyAlignment="1">
      <alignment horizontal="center"/>
    </xf>
    <xf numFmtId="0" fontId="0" fillId="0" borderId="0" xfId="0" applyNumberFormat="1" applyAlignment="1">
      <alignment horizontal="center"/>
    </xf>
    <xf numFmtId="10" fontId="0" fillId="0" borderId="0" xfId="0" applyNumberFormat="1"/>
    <xf numFmtId="10" fontId="0" fillId="0" borderId="2" xfId="0" applyNumberFormat="1" applyBorder="1"/>
    <xf numFmtId="10" fontId="0" fillId="0" borderId="3" xfId="0" applyNumberFormat="1" applyBorder="1"/>
    <xf numFmtId="10" fontId="0" fillId="0" borderId="0" xfId="0" applyNumberFormat="1" applyBorder="1"/>
    <xf numFmtId="0" fontId="39" fillId="14" borderId="0" xfId="1" applyFont="1" applyFill="1" applyBorder="1" applyAlignment="1" applyProtection="1">
      <alignment horizontal="center"/>
    </xf>
    <xf numFmtId="10" fontId="39" fillId="14" borderId="0" xfId="1" applyNumberFormat="1" applyFont="1" applyFill="1" applyBorder="1" applyAlignment="1" applyProtection="1">
      <alignment horizontal="center"/>
    </xf>
    <xf numFmtId="164" fontId="40" fillId="10" borderId="0" xfId="3" applyNumberFormat="1" applyFont="1" applyBorder="1" applyAlignment="1" applyProtection="1">
      <alignment horizontal="center"/>
    </xf>
    <xf numFmtId="0" fontId="39" fillId="14" borderId="0" xfId="1" applyNumberFormat="1" applyFont="1" applyFill="1" applyBorder="1" applyAlignment="1" applyProtection="1">
      <alignment horizontal="center"/>
    </xf>
    <xf numFmtId="1" fontId="40" fillId="10" borderId="0" xfId="3" applyNumberFormat="1" applyFont="1" applyBorder="1" applyAlignment="1" applyProtection="1">
      <alignment horizontal="center"/>
    </xf>
    <xf numFmtId="0" fontId="40" fillId="10" borderId="0" xfId="3" applyFont="1" applyBorder="1" applyAlignment="1" applyProtection="1">
      <alignment horizontal="center"/>
    </xf>
    <xf numFmtId="0" fontId="41" fillId="12" borderId="0" xfId="5" applyFont="1" applyBorder="1" applyAlignment="1" applyProtection="1">
      <alignment horizontal="center"/>
    </xf>
    <xf numFmtId="0" fontId="42" fillId="13" borderId="0" xfId="6" applyFont="1" applyBorder="1" applyAlignment="1" applyProtection="1">
      <alignment horizontal="center"/>
    </xf>
    <xf numFmtId="0" fontId="39" fillId="14" borderId="4" xfId="1" applyFont="1" applyFill="1" applyBorder="1" applyAlignment="1" applyProtection="1">
      <alignment horizontal="center"/>
    </xf>
    <xf numFmtId="0" fontId="39" fillId="14" borderId="5" xfId="1" applyFont="1" applyFill="1" applyBorder="1" applyAlignment="1" applyProtection="1">
      <alignment horizontal="center"/>
    </xf>
    <xf numFmtId="0" fontId="39" fillId="15" borderId="5" xfId="1" applyFont="1" applyFill="1" applyBorder="1" applyAlignment="1" applyProtection="1">
      <alignment horizontal="center"/>
    </xf>
    <xf numFmtId="0" fontId="30" fillId="0" borderId="0" xfId="1" applyAlignment="1" applyProtection="1">
      <alignment horizontal="center"/>
    </xf>
    <xf numFmtId="0" fontId="39" fillId="16" borderId="0" xfId="1" applyFont="1" applyFill="1" applyBorder="1" applyAlignment="1" applyProtection="1">
      <alignment horizontal="center"/>
    </xf>
    <xf numFmtId="10" fontId="30" fillId="16" borderId="0" xfId="1" applyNumberFormat="1" applyFill="1" applyBorder="1" applyAlignment="1" applyProtection="1">
      <alignment horizontal="center"/>
    </xf>
    <xf numFmtId="0" fontId="30" fillId="16" borderId="0" xfId="1" applyNumberFormat="1" applyFill="1" applyBorder="1" applyAlignment="1" applyProtection="1">
      <alignment horizontal="center"/>
    </xf>
    <xf numFmtId="165" fontId="30" fillId="16" borderId="0" xfId="1" applyNumberFormat="1" applyFill="1" applyBorder="1" applyAlignment="1" applyProtection="1">
      <alignment horizontal="center"/>
    </xf>
    <xf numFmtId="1" fontId="30" fillId="16" borderId="0" xfId="1" applyNumberFormat="1" applyFill="1" applyBorder="1" applyAlignment="1" applyProtection="1">
      <alignment horizontal="center"/>
    </xf>
    <xf numFmtId="1" fontId="41" fillId="12" borderId="0" xfId="5" applyNumberFormat="1" applyFont="1" applyBorder="1" applyAlignment="1" applyProtection="1">
      <alignment horizontal="center"/>
    </xf>
    <xf numFmtId="1" fontId="39" fillId="16" borderId="0" xfId="1" applyNumberFormat="1" applyFont="1" applyFill="1" applyBorder="1" applyAlignment="1" applyProtection="1">
      <alignment horizontal="center"/>
    </xf>
    <xf numFmtId="1" fontId="42" fillId="13" borderId="0" xfId="6" applyNumberFormat="1" applyFont="1" applyBorder="1" applyAlignment="1" applyProtection="1">
      <alignment horizontal="center"/>
    </xf>
    <xf numFmtId="0" fontId="0" fillId="2" borderId="1" xfId="2" applyFont="1" applyAlignment="1" applyProtection="1">
      <alignment horizontal="center"/>
    </xf>
    <xf numFmtId="0" fontId="30" fillId="2" borderId="1" xfId="2" applyFont="1" applyAlignment="1" applyProtection="1">
      <alignment horizontal="center"/>
    </xf>
    <xf numFmtId="0" fontId="35" fillId="11" borderId="5" xfId="4" applyBorder="1" applyAlignment="1" applyProtection="1">
      <alignment horizontal="center"/>
    </xf>
    <xf numFmtId="166" fontId="39" fillId="17" borderId="5" xfId="1" applyNumberFormat="1" applyFont="1" applyFill="1" applyBorder="1" applyAlignment="1" applyProtection="1">
      <alignment horizontal="center"/>
    </xf>
    <xf numFmtId="0" fontId="39" fillId="18" borderId="5" xfId="1" applyFont="1" applyFill="1" applyBorder="1" applyAlignment="1" applyProtection="1">
      <alignment horizontal="center"/>
    </xf>
    <xf numFmtId="0" fontId="30" fillId="0" borderId="0" xfId="1" applyProtection="1"/>
    <xf numFmtId="10" fontId="0" fillId="2" borderId="1" xfId="2" applyNumberFormat="1" applyFont="1" applyAlignment="1" applyProtection="1">
      <alignment horizontal="center"/>
      <protection locked="0"/>
    </xf>
    <xf numFmtId="10" fontId="30" fillId="14" borderId="0" xfId="1" applyNumberFormat="1" applyFill="1" applyBorder="1" applyAlignment="1" applyProtection="1">
      <alignment horizontal="center"/>
    </xf>
    <xf numFmtId="0" fontId="0" fillId="2" borderId="1" xfId="2" applyNumberFormat="1" applyFont="1" applyAlignment="1" applyProtection="1">
      <alignment horizontal="center"/>
      <protection locked="0"/>
    </xf>
    <xf numFmtId="1" fontId="30" fillId="14" borderId="0" xfId="1" applyNumberFormat="1" applyFill="1" applyBorder="1" applyAlignment="1" applyProtection="1">
      <alignment horizontal="center"/>
    </xf>
    <xf numFmtId="0" fontId="30" fillId="14" borderId="0" xfId="1" applyFill="1" applyProtection="1"/>
    <xf numFmtId="0" fontId="30" fillId="0" borderId="0" xfId="1" applyProtection="1">
      <protection hidden="1"/>
    </xf>
    <xf numFmtId="0" fontId="39" fillId="15" borderId="0" xfId="1" applyFont="1" applyFill="1" applyBorder="1" applyAlignment="1" applyProtection="1">
      <alignment horizontal="center"/>
    </xf>
    <xf numFmtId="0" fontId="39" fillId="14" borderId="0" xfId="1" applyFont="1" applyFill="1" applyProtection="1"/>
    <xf numFmtId="10" fontId="30" fillId="14" borderId="0" xfId="1" applyNumberFormat="1" applyFill="1" applyProtection="1"/>
    <xf numFmtId="164" fontId="30" fillId="14" borderId="0" xfId="1" applyNumberFormat="1" applyFill="1" applyProtection="1"/>
    <xf numFmtId="0" fontId="30" fillId="14" borderId="0" xfId="1" applyNumberFormat="1" applyFill="1" applyProtection="1"/>
    <xf numFmtId="0" fontId="30" fillId="14" borderId="0" xfId="1" applyFill="1" applyAlignment="1" applyProtection="1">
      <alignment horizontal="center"/>
    </xf>
    <xf numFmtId="1" fontId="40" fillId="10" borderId="0" xfId="3" applyNumberFormat="1" applyFont="1" applyAlignment="1" applyProtection="1">
      <alignment horizontal="center"/>
    </xf>
    <xf numFmtId="0" fontId="39" fillId="14" borderId="0" xfId="1" applyFont="1" applyFill="1" applyAlignment="1" applyProtection="1">
      <alignment horizontal="center"/>
    </xf>
    <xf numFmtId="0" fontId="37" fillId="13" borderId="0" xfId="6" applyFont="1" applyAlignment="1" applyProtection="1">
      <alignment horizontal="center"/>
    </xf>
    <xf numFmtId="1" fontId="39" fillId="14" borderId="0" xfId="1" applyNumberFormat="1" applyFont="1" applyFill="1" applyAlignment="1" applyProtection="1">
      <alignment horizontal="center"/>
    </xf>
    <xf numFmtId="1" fontId="37" fillId="13" borderId="0" xfId="6" applyNumberFormat="1" applyFont="1" applyAlignment="1" applyProtection="1">
      <alignment horizontal="center"/>
    </xf>
    <xf numFmtId="0" fontId="39" fillId="0" borderId="0" xfId="1" applyFont="1" applyProtection="1"/>
    <xf numFmtId="10" fontId="30" fillId="0" borderId="0" xfId="1" applyNumberFormat="1" applyProtection="1"/>
    <xf numFmtId="164" fontId="30" fillId="0" borderId="0" xfId="1" applyNumberFormat="1" applyProtection="1"/>
    <xf numFmtId="0" fontId="30" fillId="0" borderId="0" xfId="1" applyNumberFormat="1" applyProtection="1"/>
    <xf numFmtId="1" fontId="39" fillId="0" borderId="0" xfId="1" applyNumberFormat="1" applyFont="1" applyProtection="1"/>
    <xf numFmtId="0" fontId="13" fillId="7" borderId="0" xfId="0" applyFont="1" applyFill="1" applyAlignment="1">
      <alignment horizontal="center" vertical="center" wrapText="1"/>
    </xf>
    <xf numFmtId="0" fontId="0" fillId="0" borderId="0" xfId="0" applyAlignment="1">
      <alignment horizontal="right"/>
    </xf>
    <xf numFmtId="0" fontId="6" fillId="0" borderId="0" xfId="0" applyFont="1" applyAlignment="1">
      <alignment horizontal="right"/>
    </xf>
    <xf numFmtId="0" fontId="2" fillId="0" borderId="7" xfId="0" applyFont="1" applyBorder="1" applyAlignment="1">
      <alignment horizontal="center"/>
    </xf>
    <xf numFmtId="0" fontId="2" fillId="0" borderId="8" xfId="0" applyFont="1" applyBorder="1" applyAlignment="1">
      <alignment horizontal="center"/>
    </xf>
    <xf numFmtId="0" fontId="0" fillId="0" borderId="0" xfId="0" applyBorder="1" applyAlignment="1">
      <alignment horizontal="center"/>
    </xf>
    <xf numFmtId="0" fontId="0" fillId="0" borderId="10" xfId="0" applyBorder="1" applyAlignment="1">
      <alignment horizontal="center"/>
    </xf>
    <xf numFmtId="0" fontId="0" fillId="0" borderId="13" xfId="0" applyBorder="1" applyAlignment="1">
      <alignment horizontal="center"/>
    </xf>
    <xf numFmtId="0" fontId="2" fillId="0" borderId="0" xfId="0" applyFont="1" applyBorder="1" applyAlignment="1">
      <alignment horizontal="center"/>
    </xf>
    <xf numFmtId="0" fontId="2" fillId="0" borderId="10"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12" xfId="0" applyBorder="1" applyAlignment="1">
      <alignment horizontal="center"/>
    </xf>
    <xf numFmtId="0" fontId="0" fillId="0" borderId="0" xfId="0" applyFont="1" applyBorder="1" applyAlignment="1">
      <alignment horizontal="center"/>
    </xf>
    <xf numFmtId="0" fontId="0" fillId="0" borderId="10" xfId="0" applyFont="1" applyBorder="1" applyAlignment="1">
      <alignment horizontal="center"/>
    </xf>
    <xf numFmtId="0" fontId="3" fillId="0" borderId="13" xfId="0" applyFont="1" applyBorder="1" applyAlignment="1">
      <alignment horizontal="center"/>
    </xf>
    <xf numFmtId="0" fontId="6" fillId="0" borderId="8" xfId="0" applyFont="1" applyBorder="1" applyAlignment="1">
      <alignment horizontal="center"/>
    </xf>
    <xf numFmtId="0" fontId="3" fillId="0" borderId="10" xfId="0" applyFont="1" applyBorder="1" applyAlignment="1">
      <alignment horizontal="center"/>
    </xf>
    <xf numFmtId="0" fontId="6" fillId="0" borderId="13" xfId="0" applyFont="1" applyBorder="1" applyAlignment="1">
      <alignment horizontal="center"/>
    </xf>
    <xf numFmtId="0" fontId="5" fillId="0" borderId="6" xfId="0" applyFont="1" applyBorder="1" applyAlignment="1">
      <alignment horizontal="right"/>
    </xf>
    <xf numFmtId="0" fontId="5" fillId="0" borderId="9" xfId="0" applyFont="1" applyBorder="1" applyAlignment="1">
      <alignment horizontal="right"/>
    </xf>
    <xf numFmtId="0" fontId="5" fillId="0" borderId="11" xfId="0" applyFont="1" applyBorder="1" applyAlignment="1">
      <alignment horizontal="right"/>
    </xf>
    <xf numFmtId="0" fontId="33" fillId="0" borderId="9" xfId="0" applyFont="1" applyBorder="1" applyAlignment="1">
      <alignment horizontal="right"/>
    </xf>
    <xf numFmtId="0" fontId="33" fillId="0" borderId="11" xfId="0" applyFont="1" applyBorder="1" applyAlignment="1">
      <alignment horizontal="right"/>
    </xf>
    <xf numFmtId="0" fontId="5" fillId="0" borderId="0" xfId="0" applyFont="1" applyAlignment="1">
      <alignment horizontal="right"/>
    </xf>
    <xf numFmtId="0" fontId="2" fillId="0" borderId="0" xfId="0" applyFont="1" applyAlignment="1">
      <alignment horizontal="right"/>
    </xf>
    <xf numFmtId="49" fontId="4" fillId="0" borderId="0" xfId="0" applyNumberFormat="1" applyFont="1" applyAlignment="1">
      <alignment horizontal="center"/>
    </xf>
    <xf numFmtId="49" fontId="1" fillId="0" borderId="0" xfId="0" applyNumberFormat="1" applyFont="1" applyAlignment="1">
      <alignment horizontal="center"/>
    </xf>
    <xf numFmtId="0" fontId="10" fillId="0" borderId="0" xfId="0" applyFont="1" applyAlignment="1">
      <alignment horizontal="center" vertical="center" wrapText="1"/>
    </xf>
    <xf numFmtId="0" fontId="13" fillId="0" borderId="0" xfId="0" applyFont="1" applyAlignment="1">
      <alignment horizontal="center" vertical="center" wrapText="1"/>
    </xf>
    <xf numFmtId="49" fontId="5" fillId="0" borderId="9" xfId="0" applyNumberFormat="1" applyFont="1" applyBorder="1" applyAlignment="1">
      <alignment horizontal="right" vertical="center"/>
    </xf>
    <xf numFmtId="49" fontId="2" fillId="0" borderId="0" xfId="0" applyNumberFormat="1" applyFont="1" applyBorder="1" applyAlignment="1">
      <alignment horizontal="center" vertical="center" wrapText="1"/>
    </xf>
    <xf numFmtId="49" fontId="2" fillId="0" borderId="10" xfId="0" applyNumberFormat="1" applyFont="1" applyBorder="1" applyAlignment="1">
      <alignment horizontal="center" vertical="center" wrapText="1"/>
    </xf>
    <xf numFmtId="49" fontId="6" fillId="0" borderId="0" xfId="0" applyNumberFormat="1" applyFont="1" applyAlignment="1">
      <alignment horizontal="center"/>
    </xf>
    <xf numFmtId="49" fontId="0" fillId="0" borderId="0" xfId="0" applyNumberFormat="1" applyAlignment="1">
      <alignment horizontal="center"/>
    </xf>
    <xf numFmtId="0" fontId="2" fillId="0" borderId="0" xfId="0" applyFont="1" applyAlignment="1">
      <alignment vertical="center"/>
    </xf>
    <xf numFmtId="49" fontId="0" fillId="0" borderId="0" xfId="0" applyNumberFormat="1" applyAlignment="1">
      <alignment vertical="center"/>
    </xf>
    <xf numFmtId="0" fontId="0" fillId="0" borderId="0" xfId="0" applyAlignment="1">
      <alignment vertical="center"/>
    </xf>
    <xf numFmtId="49" fontId="0" fillId="0" borderId="0" xfId="0" applyNumberFormat="1" applyAlignment="1">
      <alignment horizontal="left" vertical="center"/>
    </xf>
    <xf numFmtId="0" fontId="0" fillId="0" borderId="0" xfId="0" applyAlignment="1">
      <alignment horizontal="center" vertical="center" wrapText="1"/>
    </xf>
    <xf numFmtId="0" fontId="2" fillId="0" borderId="0" xfId="0" applyFont="1" applyAlignment="1">
      <alignment horizontal="center" vertical="center"/>
    </xf>
    <xf numFmtId="0" fontId="0" fillId="0" borderId="0" xfId="0" applyAlignment="1">
      <alignment horizontal="center" vertical="center" wrapText="1"/>
    </xf>
    <xf numFmtId="0" fontId="4" fillId="0" borderId="9" xfId="0" applyFont="1" applyBorder="1" applyAlignment="1">
      <alignment horizontal="center" vertical="center"/>
    </xf>
    <xf numFmtId="0" fontId="0" fillId="0" borderId="0" xfId="0" applyBorder="1" applyAlignment="1">
      <alignment horizontal="center" vertical="center"/>
    </xf>
    <xf numFmtId="0" fontId="4" fillId="0" borderId="10" xfId="0" applyFont="1" applyBorder="1" applyAlignment="1">
      <alignment horizontal="center" vertical="center"/>
    </xf>
    <xf numFmtId="0" fontId="1" fillId="0" borderId="9" xfId="0" applyFont="1" applyBorder="1" applyAlignment="1">
      <alignment horizontal="center" vertical="center"/>
    </xf>
    <xf numFmtId="0" fontId="4" fillId="0" borderId="0" xfId="0" applyFont="1" applyBorder="1" applyAlignment="1">
      <alignment horizontal="center" vertical="center"/>
    </xf>
    <xf numFmtId="0" fontId="1" fillId="0" borderId="0" xfId="0" applyFont="1" applyBorder="1" applyAlignment="1">
      <alignment horizontal="center" vertical="center"/>
    </xf>
    <xf numFmtId="0" fontId="0" fillId="0" borderId="10" xfId="0" applyBorder="1" applyAlignment="1">
      <alignment horizontal="center" vertical="center"/>
    </xf>
    <xf numFmtId="0" fontId="6" fillId="0" borderId="9" xfId="0" applyFont="1" applyBorder="1" applyAlignment="1">
      <alignment horizontal="center" vertical="center"/>
    </xf>
    <xf numFmtId="0" fontId="6" fillId="0" borderId="0" xfId="0" applyFont="1" applyBorder="1" applyAlignment="1">
      <alignment horizontal="center" vertical="center"/>
    </xf>
    <xf numFmtId="0" fontId="6" fillId="0" borderId="10" xfId="0" applyFont="1" applyBorder="1" applyAlignment="1">
      <alignment horizontal="center" vertical="center"/>
    </xf>
    <xf numFmtId="0" fontId="1" fillId="0" borderId="10" xfId="0" applyFont="1"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1" fillId="0" borderId="12" xfId="0" applyFont="1" applyBorder="1" applyAlignment="1">
      <alignment horizontal="center" vertical="center"/>
    </xf>
    <xf numFmtId="0" fontId="4" fillId="0" borderId="12" xfId="0" applyFont="1" applyBorder="1" applyAlignment="1">
      <alignment horizontal="center" vertical="center"/>
    </xf>
    <xf numFmtId="0" fontId="0" fillId="0" borderId="12" xfId="0" applyBorder="1" applyAlignment="1">
      <alignment horizontal="center" vertical="center"/>
    </xf>
    <xf numFmtId="0" fontId="4" fillId="0" borderId="13" xfId="0" applyFont="1" applyBorder="1" applyAlignment="1">
      <alignment horizontal="center" vertical="center"/>
    </xf>
    <xf numFmtId="0" fontId="0" fillId="0" borderId="13" xfId="0" applyBorder="1" applyAlignment="1">
      <alignment horizontal="center" vertical="center"/>
    </xf>
    <xf numFmtId="0" fontId="2" fillId="0" borderId="0" xfId="0" applyFont="1" applyBorder="1" applyAlignment="1">
      <alignment horizontal="center" vertical="center" wrapText="1"/>
    </xf>
    <xf numFmtId="0" fontId="1" fillId="0" borderId="0" xfId="0" applyFont="1" applyBorder="1" applyAlignment="1">
      <alignment horizontal="center" vertical="center" wrapText="1"/>
    </xf>
    <xf numFmtId="0" fontId="0" fillId="0" borderId="0" xfId="0" applyBorder="1" applyAlignment="1">
      <alignment horizontal="center" vertical="center" wrapText="1"/>
    </xf>
    <xf numFmtId="0" fontId="4" fillId="0" borderId="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0" xfId="0" applyAlignment="1">
      <alignment horizontal="right" vertical="center"/>
    </xf>
    <xf numFmtId="0" fontId="2" fillId="0" borderId="0" xfId="0" applyFont="1" applyAlignment="1">
      <alignment horizontal="right" vertical="center"/>
    </xf>
    <xf numFmtId="0" fontId="2" fillId="0" borderId="9" xfId="0" applyFont="1" applyBorder="1" applyAlignment="1">
      <alignment horizontal="center" vertical="center"/>
    </xf>
    <xf numFmtId="0" fontId="2" fillId="0" borderId="0" xfId="0" applyFont="1" applyBorder="1" applyAlignment="1">
      <alignment horizontal="center" vertical="center"/>
    </xf>
    <xf numFmtId="0" fontId="2" fillId="0" borderId="10" xfId="0" applyFont="1" applyBorder="1" applyAlignment="1">
      <alignment horizontal="center" vertical="center"/>
    </xf>
    <xf numFmtId="0" fontId="44" fillId="0" borderId="0" xfId="0" applyFont="1" applyAlignment="1">
      <alignment horizontal="center"/>
    </xf>
    <xf numFmtId="0" fontId="43" fillId="0" borderId="0" xfId="0" applyFont="1" applyAlignment="1">
      <alignment horizontal="center"/>
    </xf>
    <xf numFmtId="0" fontId="44" fillId="0" borderId="0" xfId="0" applyFont="1" applyAlignment="1">
      <alignment horizontal="left"/>
    </xf>
    <xf numFmtId="0" fontId="44" fillId="0" borderId="0" xfId="0" applyFont="1"/>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4"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4" xfId="0" applyFont="1" applyBorder="1" applyAlignment="1">
      <alignment horizontal="center" vertical="center" wrapText="1"/>
    </xf>
    <xf numFmtId="0" fontId="9" fillId="3" borderId="0" xfId="0" applyFont="1" applyFill="1" applyAlignment="1">
      <alignment horizontal="center" vertical="center" wrapText="1"/>
    </xf>
    <xf numFmtId="0" fontId="8" fillId="3" borderId="0" xfId="0" applyFont="1" applyFill="1" applyAlignment="1">
      <alignment horizontal="center" vertical="center" wrapText="1"/>
    </xf>
    <xf numFmtId="0" fontId="16" fillId="5" borderId="0" xfId="0" applyFont="1" applyFill="1" applyAlignment="1">
      <alignment horizontal="center" vertical="center" wrapText="1"/>
    </xf>
    <xf numFmtId="0" fontId="9" fillId="0" borderId="0" xfId="0" applyFont="1" applyAlignment="1">
      <alignment horizontal="center" vertical="center" wrapText="1"/>
    </xf>
    <xf numFmtId="0" fontId="8" fillId="0" borderId="0" xfId="0" applyFont="1" applyAlignment="1">
      <alignment horizontal="center" vertical="center" wrapText="1"/>
    </xf>
    <xf numFmtId="0" fontId="0" fillId="6" borderId="0" xfId="0" applyFill="1" applyAlignment="1">
      <alignment horizontal="center" vertical="center" wrapText="1"/>
    </xf>
    <xf numFmtId="0" fontId="9" fillId="7" borderId="0" xfId="0" applyFont="1" applyFill="1" applyAlignment="1">
      <alignment horizontal="center" vertical="center" wrapText="1"/>
    </xf>
    <xf numFmtId="0" fontId="8" fillId="7" borderId="0" xfId="0" applyFont="1" applyFill="1" applyAlignment="1">
      <alignment horizontal="center" vertical="center" wrapText="1"/>
    </xf>
    <xf numFmtId="0" fontId="10" fillId="0" borderId="0" xfId="0" applyFont="1" applyAlignment="1">
      <alignment horizontal="center" vertical="center" wrapText="1"/>
    </xf>
    <xf numFmtId="0" fontId="13" fillId="0" borderId="0" xfId="0" applyFont="1" applyAlignment="1">
      <alignment horizontal="center" vertical="center" wrapText="1"/>
    </xf>
    <xf numFmtId="0" fontId="11" fillId="3" borderId="0" xfId="0" applyFont="1" applyFill="1" applyAlignment="1">
      <alignment horizontal="center" vertical="center" wrapText="1"/>
    </xf>
    <xf numFmtId="0" fontId="0" fillId="7" borderId="0" xfId="0" applyFill="1" applyAlignment="1">
      <alignment horizontal="center" vertical="center" wrapText="1"/>
    </xf>
    <xf numFmtId="0" fontId="0" fillId="0" borderId="0" xfId="0" applyAlignment="1">
      <alignment horizontal="center" vertical="center" wrapText="1"/>
    </xf>
    <xf numFmtId="0" fontId="21" fillId="0" borderId="0" xfId="0" applyFont="1" applyAlignment="1">
      <alignment horizontal="center" vertical="center" wrapText="1"/>
    </xf>
    <xf numFmtId="0" fontId="11" fillId="7" borderId="0" xfId="0" applyFont="1" applyFill="1" applyAlignment="1">
      <alignment horizontal="center" vertical="center" wrapText="1"/>
    </xf>
    <xf numFmtId="0" fontId="13" fillId="7" borderId="0" xfId="0" applyFont="1" applyFill="1" applyAlignment="1">
      <alignment horizontal="center" vertical="center" wrapText="1"/>
    </xf>
    <xf numFmtId="0" fontId="10" fillId="7" borderId="0" xfId="0" applyFont="1" applyFill="1" applyAlignment="1">
      <alignment horizontal="center" vertical="center" wrapText="1"/>
    </xf>
    <xf numFmtId="0" fontId="10" fillId="3" borderId="0" xfId="0" applyFont="1" applyFill="1" applyAlignment="1">
      <alignment horizontal="center" vertical="center" wrapText="1"/>
    </xf>
    <xf numFmtId="0" fontId="23" fillId="8" borderId="0" xfId="0" applyFont="1" applyFill="1" applyAlignment="1">
      <alignment horizontal="center" vertical="center" wrapText="1"/>
    </xf>
    <xf numFmtId="0" fontId="29" fillId="7" borderId="0" xfId="0" applyFont="1" applyFill="1" applyAlignment="1">
      <alignment horizontal="center" vertical="center" wrapText="1"/>
    </xf>
  </cellXfs>
  <cellStyles count="12">
    <cellStyle name="Accent1" xfId="6" builtinId="29"/>
    <cellStyle name="Bad" xfId="4" builtinId="27"/>
    <cellStyle name="Blue Background" xfId="7"/>
    <cellStyle name="Good" xfId="3" builtinId="26"/>
    <cellStyle name="Green Background" xfId="8"/>
    <cellStyle name="Neutral" xfId="5" builtinId="28"/>
    <cellStyle name="Normal" xfId="0" builtinId="0"/>
    <cellStyle name="Normal 2" xfId="1"/>
    <cellStyle name="Note 2" xfId="2"/>
    <cellStyle name="Orange Background" xfId="9"/>
    <cellStyle name="Red background" xfId="10"/>
    <cellStyle name="Yellow Background" xfId="11"/>
  </cellStyles>
  <dxfs count="21">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font>
        <b/>
        <i val="0"/>
        <strike val="0"/>
        <condense val="0"/>
        <extend val="0"/>
        <outline val="0"/>
        <shadow val="0"/>
        <u val="none"/>
        <vertAlign val="baseline"/>
        <sz val="11"/>
        <color theme="1"/>
        <name val="Calibri"/>
        <scheme val="minor"/>
      </font>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font>
        <b/>
        <i val="0"/>
        <strike val="0"/>
        <condense val="0"/>
        <extend val="0"/>
        <outline val="0"/>
        <shadow val="0"/>
        <u val="none"/>
        <vertAlign val="baseline"/>
        <sz val="11"/>
        <color theme="1"/>
        <name val="Calibri"/>
        <scheme val="minor"/>
      </font>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alignment horizontal="center" vertical="bottom" textRotation="0" wrapText="0" indent="0" relativeIndent="0" justifyLastLine="0" shrinkToFit="0" mergeCell="0" readingOrder="0"/>
    </dxf>
    <dxf>
      <font>
        <b/>
        <i val="0"/>
        <strike val="0"/>
        <condense val="0"/>
        <extend val="0"/>
        <outline val="0"/>
        <shadow val="0"/>
        <u val="none"/>
        <vertAlign val="baseline"/>
        <sz val="11"/>
        <color auto="1"/>
        <name val="Calibri"/>
        <scheme val="minor"/>
      </font>
    </dxf>
    <dxf>
      <alignment horizontal="center" vertical="bottom" textRotation="0" wrapText="0" indent="0" relativeIndent="0" justifyLastLine="0" shrinkToFit="0" mergeCell="0" readingOrder="0"/>
    </dxf>
    <dxf>
      <font>
        <b/>
        <i val="0"/>
        <strike val="0"/>
        <condense val="0"/>
        <extend val="0"/>
        <outline val="0"/>
        <shadow val="0"/>
        <u val="none"/>
        <vertAlign val="baseline"/>
        <sz val="11"/>
        <color theme="1"/>
        <name val="Calibri"/>
        <scheme val="minor"/>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6" Type="http://schemas.openxmlformats.org/officeDocument/2006/relationships/image" Target="../media/image26.gif"/><Relationship Id="rId117" Type="http://schemas.openxmlformats.org/officeDocument/2006/relationships/image" Target="../media/image117.gif"/><Relationship Id="rId21" Type="http://schemas.openxmlformats.org/officeDocument/2006/relationships/image" Target="../media/image21.gif"/><Relationship Id="rId42" Type="http://schemas.openxmlformats.org/officeDocument/2006/relationships/image" Target="../media/image42.gif"/><Relationship Id="rId47" Type="http://schemas.openxmlformats.org/officeDocument/2006/relationships/image" Target="../media/image47.gif"/><Relationship Id="rId63" Type="http://schemas.openxmlformats.org/officeDocument/2006/relationships/image" Target="../media/image63.gif"/><Relationship Id="rId68" Type="http://schemas.openxmlformats.org/officeDocument/2006/relationships/image" Target="../media/image68.gif"/><Relationship Id="rId84" Type="http://schemas.openxmlformats.org/officeDocument/2006/relationships/image" Target="../media/image84.gif"/><Relationship Id="rId89" Type="http://schemas.openxmlformats.org/officeDocument/2006/relationships/image" Target="../media/image89.gif"/><Relationship Id="rId112" Type="http://schemas.openxmlformats.org/officeDocument/2006/relationships/image" Target="../media/image112.gif"/><Relationship Id="rId133" Type="http://schemas.openxmlformats.org/officeDocument/2006/relationships/image" Target="../media/image133.gif"/><Relationship Id="rId138" Type="http://schemas.openxmlformats.org/officeDocument/2006/relationships/image" Target="../media/image138.gif"/><Relationship Id="rId154" Type="http://schemas.openxmlformats.org/officeDocument/2006/relationships/image" Target="../media/image154.gif"/><Relationship Id="rId159" Type="http://schemas.openxmlformats.org/officeDocument/2006/relationships/image" Target="../media/image159.gif"/><Relationship Id="rId175" Type="http://schemas.openxmlformats.org/officeDocument/2006/relationships/image" Target="../media/image175.gif"/><Relationship Id="rId170" Type="http://schemas.openxmlformats.org/officeDocument/2006/relationships/image" Target="../media/image170.gif"/><Relationship Id="rId16" Type="http://schemas.openxmlformats.org/officeDocument/2006/relationships/image" Target="../media/image16.gif"/><Relationship Id="rId107" Type="http://schemas.openxmlformats.org/officeDocument/2006/relationships/image" Target="../media/image107.gif"/><Relationship Id="rId11" Type="http://schemas.openxmlformats.org/officeDocument/2006/relationships/image" Target="../media/image11.gif"/><Relationship Id="rId32" Type="http://schemas.openxmlformats.org/officeDocument/2006/relationships/image" Target="../media/image32.gif"/><Relationship Id="rId37" Type="http://schemas.openxmlformats.org/officeDocument/2006/relationships/image" Target="../media/image37.gif"/><Relationship Id="rId53" Type="http://schemas.openxmlformats.org/officeDocument/2006/relationships/image" Target="../media/image53.gif"/><Relationship Id="rId58" Type="http://schemas.openxmlformats.org/officeDocument/2006/relationships/image" Target="../media/image58.gif"/><Relationship Id="rId74" Type="http://schemas.openxmlformats.org/officeDocument/2006/relationships/image" Target="../media/image74.gif"/><Relationship Id="rId79" Type="http://schemas.openxmlformats.org/officeDocument/2006/relationships/image" Target="../media/image79.gif"/><Relationship Id="rId102" Type="http://schemas.openxmlformats.org/officeDocument/2006/relationships/image" Target="../media/image102.gif"/><Relationship Id="rId123" Type="http://schemas.openxmlformats.org/officeDocument/2006/relationships/image" Target="../media/image123.gif"/><Relationship Id="rId128" Type="http://schemas.openxmlformats.org/officeDocument/2006/relationships/image" Target="../media/image128.gif"/><Relationship Id="rId144" Type="http://schemas.openxmlformats.org/officeDocument/2006/relationships/image" Target="../media/image144.gif"/><Relationship Id="rId149" Type="http://schemas.openxmlformats.org/officeDocument/2006/relationships/image" Target="../media/image149.gif"/><Relationship Id="rId5" Type="http://schemas.openxmlformats.org/officeDocument/2006/relationships/image" Target="../media/image5.gif"/><Relationship Id="rId90" Type="http://schemas.openxmlformats.org/officeDocument/2006/relationships/image" Target="../media/image90.gif"/><Relationship Id="rId95" Type="http://schemas.openxmlformats.org/officeDocument/2006/relationships/image" Target="../media/image95.gif"/><Relationship Id="rId160" Type="http://schemas.openxmlformats.org/officeDocument/2006/relationships/image" Target="../media/image160.gif"/><Relationship Id="rId165" Type="http://schemas.openxmlformats.org/officeDocument/2006/relationships/image" Target="../media/image165.gif"/><Relationship Id="rId181" Type="http://schemas.openxmlformats.org/officeDocument/2006/relationships/image" Target="../media/image181.gif"/><Relationship Id="rId186" Type="http://schemas.openxmlformats.org/officeDocument/2006/relationships/image" Target="../media/image186.gif"/><Relationship Id="rId22" Type="http://schemas.openxmlformats.org/officeDocument/2006/relationships/image" Target="../media/image22.gif"/><Relationship Id="rId27" Type="http://schemas.openxmlformats.org/officeDocument/2006/relationships/image" Target="../media/image27.gif"/><Relationship Id="rId43" Type="http://schemas.openxmlformats.org/officeDocument/2006/relationships/image" Target="../media/image43.gif"/><Relationship Id="rId48" Type="http://schemas.openxmlformats.org/officeDocument/2006/relationships/image" Target="../media/image48.gif"/><Relationship Id="rId64" Type="http://schemas.openxmlformats.org/officeDocument/2006/relationships/image" Target="../media/image64.gif"/><Relationship Id="rId69" Type="http://schemas.openxmlformats.org/officeDocument/2006/relationships/image" Target="../media/image69.gif"/><Relationship Id="rId113" Type="http://schemas.openxmlformats.org/officeDocument/2006/relationships/image" Target="../media/image113.gif"/><Relationship Id="rId118" Type="http://schemas.openxmlformats.org/officeDocument/2006/relationships/image" Target="../media/image118.gif"/><Relationship Id="rId134" Type="http://schemas.openxmlformats.org/officeDocument/2006/relationships/image" Target="../media/image134.gif"/><Relationship Id="rId139" Type="http://schemas.openxmlformats.org/officeDocument/2006/relationships/image" Target="../media/image139.gif"/><Relationship Id="rId80" Type="http://schemas.openxmlformats.org/officeDocument/2006/relationships/image" Target="../media/image80.gif"/><Relationship Id="rId85" Type="http://schemas.openxmlformats.org/officeDocument/2006/relationships/image" Target="../media/image85.gif"/><Relationship Id="rId150" Type="http://schemas.openxmlformats.org/officeDocument/2006/relationships/image" Target="../media/image150.gif"/><Relationship Id="rId155" Type="http://schemas.openxmlformats.org/officeDocument/2006/relationships/image" Target="../media/image155.gif"/><Relationship Id="rId171" Type="http://schemas.openxmlformats.org/officeDocument/2006/relationships/image" Target="../media/image171.gif"/><Relationship Id="rId176" Type="http://schemas.openxmlformats.org/officeDocument/2006/relationships/image" Target="../media/image176.gif"/><Relationship Id="rId12" Type="http://schemas.openxmlformats.org/officeDocument/2006/relationships/image" Target="../media/image12.gif"/><Relationship Id="rId17" Type="http://schemas.openxmlformats.org/officeDocument/2006/relationships/image" Target="../media/image17.gif"/><Relationship Id="rId33" Type="http://schemas.openxmlformats.org/officeDocument/2006/relationships/image" Target="../media/image33.gif"/><Relationship Id="rId38" Type="http://schemas.openxmlformats.org/officeDocument/2006/relationships/image" Target="../media/image38.gif"/><Relationship Id="rId59" Type="http://schemas.openxmlformats.org/officeDocument/2006/relationships/image" Target="../media/image59.gif"/><Relationship Id="rId103" Type="http://schemas.openxmlformats.org/officeDocument/2006/relationships/image" Target="../media/image103.gif"/><Relationship Id="rId108" Type="http://schemas.openxmlformats.org/officeDocument/2006/relationships/image" Target="../media/image108.gif"/><Relationship Id="rId124" Type="http://schemas.openxmlformats.org/officeDocument/2006/relationships/image" Target="../media/image124.gif"/><Relationship Id="rId129" Type="http://schemas.openxmlformats.org/officeDocument/2006/relationships/image" Target="../media/image129.gif"/><Relationship Id="rId54" Type="http://schemas.openxmlformats.org/officeDocument/2006/relationships/image" Target="../media/image54.gif"/><Relationship Id="rId70" Type="http://schemas.openxmlformats.org/officeDocument/2006/relationships/image" Target="../media/image70.gif"/><Relationship Id="rId75" Type="http://schemas.openxmlformats.org/officeDocument/2006/relationships/image" Target="../media/image75.gif"/><Relationship Id="rId91" Type="http://schemas.openxmlformats.org/officeDocument/2006/relationships/image" Target="../media/image91.gif"/><Relationship Id="rId96" Type="http://schemas.openxmlformats.org/officeDocument/2006/relationships/image" Target="../media/image96.gif"/><Relationship Id="rId140" Type="http://schemas.openxmlformats.org/officeDocument/2006/relationships/image" Target="../media/image140.gif"/><Relationship Id="rId145" Type="http://schemas.openxmlformats.org/officeDocument/2006/relationships/image" Target="../media/image145.gif"/><Relationship Id="rId161" Type="http://schemas.openxmlformats.org/officeDocument/2006/relationships/image" Target="../media/image161.gif"/><Relationship Id="rId166" Type="http://schemas.openxmlformats.org/officeDocument/2006/relationships/image" Target="../media/image166.gif"/><Relationship Id="rId182" Type="http://schemas.openxmlformats.org/officeDocument/2006/relationships/image" Target="../media/image182.gif"/><Relationship Id="rId187" Type="http://schemas.openxmlformats.org/officeDocument/2006/relationships/image" Target="../media/image187.gif"/><Relationship Id="rId1" Type="http://schemas.openxmlformats.org/officeDocument/2006/relationships/image" Target="../media/image1.gif"/><Relationship Id="rId6" Type="http://schemas.openxmlformats.org/officeDocument/2006/relationships/image" Target="../media/image6.gif"/><Relationship Id="rId23" Type="http://schemas.openxmlformats.org/officeDocument/2006/relationships/image" Target="../media/image23.gif"/><Relationship Id="rId28" Type="http://schemas.openxmlformats.org/officeDocument/2006/relationships/image" Target="../media/image28.gif"/><Relationship Id="rId49" Type="http://schemas.openxmlformats.org/officeDocument/2006/relationships/image" Target="../media/image49.gif"/><Relationship Id="rId114" Type="http://schemas.openxmlformats.org/officeDocument/2006/relationships/image" Target="../media/image114.gif"/><Relationship Id="rId119" Type="http://schemas.openxmlformats.org/officeDocument/2006/relationships/image" Target="../media/image119.gif"/><Relationship Id="rId44" Type="http://schemas.openxmlformats.org/officeDocument/2006/relationships/image" Target="../media/image44.gif"/><Relationship Id="rId60" Type="http://schemas.openxmlformats.org/officeDocument/2006/relationships/image" Target="../media/image60.gif"/><Relationship Id="rId65" Type="http://schemas.openxmlformats.org/officeDocument/2006/relationships/image" Target="../media/image65.gif"/><Relationship Id="rId81" Type="http://schemas.openxmlformats.org/officeDocument/2006/relationships/image" Target="../media/image81.gif"/><Relationship Id="rId86" Type="http://schemas.openxmlformats.org/officeDocument/2006/relationships/image" Target="../media/image86.gif"/><Relationship Id="rId130" Type="http://schemas.openxmlformats.org/officeDocument/2006/relationships/image" Target="../media/image130.gif"/><Relationship Id="rId135" Type="http://schemas.openxmlformats.org/officeDocument/2006/relationships/image" Target="../media/image135.gif"/><Relationship Id="rId151" Type="http://schemas.openxmlformats.org/officeDocument/2006/relationships/image" Target="../media/image151.gif"/><Relationship Id="rId156" Type="http://schemas.openxmlformats.org/officeDocument/2006/relationships/image" Target="../media/image156.gif"/><Relationship Id="rId177" Type="http://schemas.openxmlformats.org/officeDocument/2006/relationships/image" Target="../media/image177.gif"/><Relationship Id="rId172" Type="http://schemas.openxmlformats.org/officeDocument/2006/relationships/image" Target="../media/image172.gif"/><Relationship Id="rId13" Type="http://schemas.openxmlformats.org/officeDocument/2006/relationships/image" Target="../media/image13.gif"/><Relationship Id="rId18" Type="http://schemas.openxmlformats.org/officeDocument/2006/relationships/image" Target="../media/image18.gif"/><Relationship Id="rId39" Type="http://schemas.openxmlformats.org/officeDocument/2006/relationships/image" Target="../media/image39.gif"/><Relationship Id="rId109" Type="http://schemas.openxmlformats.org/officeDocument/2006/relationships/image" Target="../media/image109.gif"/><Relationship Id="rId34" Type="http://schemas.openxmlformats.org/officeDocument/2006/relationships/image" Target="../media/image34.gif"/><Relationship Id="rId50" Type="http://schemas.openxmlformats.org/officeDocument/2006/relationships/image" Target="../media/image50.gif"/><Relationship Id="rId55" Type="http://schemas.openxmlformats.org/officeDocument/2006/relationships/image" Target="../media/image55.gif"/><Relationship Id="rId76" Type="http://schemas.openxmlformats.org/officeDocument/2006/relationships/image" Target="../media/image76.gif"/><Relationship Id="rId97" Type="http://schemas.openxmlformats.org/officeDocument/2006/relationships/image" Target="../media/image97.gif"/><Relationship Id="rId104" Type="http://schemas.openxmlformats.org/officeDocument/2006/relationships/image" Target="../media/image104.gif"/><Relationship Id="rId120" Type="http://schemas.openxmlformats.org/officeDocument/2006/relationships/image" Target="../media/image120.gif"/><Relationship Id="rId125" Type="http://schemas.openxmlformats.org/officeDocument/2006/relationships/image" Target="../media/image125.gif"/><Relationship Id="rId141" Type="http://schemas.openxmlformats.org/officeDocument/2006/relationships/image" Target="../media/image141.gif"/><Relationship Id="rId146" Type="http://schemas.openxmlformats.org/officeDocument/2006/relationships/image" Target="../media/image146.gif"/><Relationship Id="rId167" Type="http://schemas.openxmlformats.org/officeDocument/2006/relationships/image" Target="../media/image167.gif"/><Relationship Id="rId188" Type="http://schemas.openxmlformats.org/officeDocument/2006/relationships/image" Target="../media/image188.gif"/><Relationship Id="rId7" Type="http://schemas.openxmlformats.org/officeDocument/2006/relationships/image" Target="../media/image7.gif"/><Relationship Id="rId71" Type="http://schemas.openxmlformats.org/officeDocument/2006/relationships/image" Target="../media/image71.gif"/><Relationship Id="rId92" Type="http://schemas.openxmlformats.org/officeDocument/2006/relationships/image" Target="../media/image92.gif"/><Relationship Id="rId162" Type="http://schemas.openxmlformats.org/officeDocument/2006/relationships/image" Target="../media/image162.gif"/><Relationship Id="rId183" Type="http://schemas.openxmlformats.org/officeDocument/2006/relationships/image" Target="../media/image183.gif"/><Relationship Id="rId2" Type="http://schemas.openxmlformats.org/officeDocument/2006/relationships/image" Target="../media/image2.gif"/><Relationship Id="rId29" Type="http://schemas.openxmlformats.org/officeDocument/2006/relationships/image" Target="../media/image29.gif"/><Relationship Id="rId24" Type="http://schemas.openxmlformats.org/officeDocument/2006/relationships/image" Target="../media/image24.gif"/><Relationship Id="rId40" Type="http://schemas.openxmlformats.org/officeDocument/2006/relationships/image" Target="../media/image40.gif"/><Relationship Id="rId45" Type="http://schemas.openxmlformats.org/officeDocument/2006/relationships/image" Target="../media/image45.gif"/><Relationship Id="rId66" Type="http://schemas.openxmlformats.org/officeDocument/2006/relationships/image" Target="../media/image66.gif"/><Relationship Id="rId87" Type="http://schemas.openxmlformats.org/officeDocument/2006/relationships/image" Target="../media/image87.gif"/><Relationship Id="rId110" Type="http://schemas.openxmlformats.org/officeDocument/2006/relationships/image" Target="../media/image110.gif"/><Relationship Id="rId115" Type="http://schemas.openxmlformats.org/officeDocument/2006/relationships/image" Target="../media/image115.gif"/><Relationship Id="rId131" Type="http://schemas.openxmlformats.org/officeDocument/2006/relationships/image" Target="../media/image131.gif"/><Relationship Id="rId136" Type="http://schemas.openxmlformats.org/officeDocument/2006/relationships/image" Target="../media/image136.gif"/><Relationship Id="rId157" Type="http://schemas.openxmlformats.org/officeDocument/2006/relationships/image" Target="../media/image157.gif"/><Relationship Id="rId178" Type="http://schemas.openxmlformats.org/officeDocument/2006/relationships/image" Target="../media/image178.gif"/><Relationship Id="rId61" Type="http://schemas.openxmlformats.org/officeDocument/2006/relationships/image" Target="../media/image61.gif"/><Relationship Id="rId82" Type="http://schemas.openxmlformats.org/officeDocument/2006/relationships/image" Target="../media/image82.gif"/><Relationship Id="rId152" Type="http://schemas.openxmlformats.org/officeDocument/2006/relationships/image" Target="../media/image152.gif"/><Relationship Id="rId173" Type="http://schemas.openxmlformats.org/officeDocument/2006/relationships/image" Target="../media/image173.gif"/><Relationship Id="rId19" Type="http://schemas.openxmlformats.org/officeDocument/2006/relationships/image" Target="../media/image19.gif"/><Relationship Id="rId14" Type="http://schemas.openxmlformats.org/officeDocument/2006/relationships/image" Target="../media/image14.gif"/><Relationship Id="rId30" Type="http://schemas.openxmlformats.org/officeDocument/2006/relationships/image" Target="../media/image30.gif"/><Relationship Id="rId35" Type="http://schemas.openxmlformats.org/officeDocument/2006/relationships/image" Target="../media/image35.gif"/><Relationship Id="rId56" Type="http://schemas.openxmlformats.org/officeDocument/2006/relationships/image" Target="../media/image56.gif"/><Relationship Id="rId77" Type="http://schemas.openxmlformats.org/officeDocument/2006/relationships/image" Target="../media/image77.gif"/><Relationship Id="rId100" Type="http://schemas.openxmlformats.org/officeDocument/2006/relationships/image" Target="../media/image100.gif"/><Relationship Id="rId105" Type="http://schemas.openxmlformats.org/officeDocument/2006/relationships/image" Target="../media/image105.gif"/><Relationship Id="rId126" Type="http://schemas.openxmlformats.org/officeDocument/2006/relationships/image" Target="../media/image126.gif"/><Relationship Id="rId147" Type="http://schemas.openxmlformats.org/officeDocument/2006/relationships/image" Target="../media/image147.gif"/><Relationship Id="rId168" Type="http://schemas.openxmlformats.org/officeDocument/2006/relationships/image" Target="../media/image168.gif"/><Relationship Id="rId8" Type="http://schemas.openxmlformats.org/officeDocument/2006/relationships/image" Target="../media/image8.gif"/><Relationship Id="rId51" Type="http://schemas.openxmlformats.org/officeDocument/2006/relationships/image" Target="../media/image51.gif"/><Relationship Id="rId72" Type="http://schemas.openxmlformats.org/officeDocument/2006/relationships/image" Target="../media/image72.gif"/><Relationship Id="rId93" Type="http://schemas.openxmlformats.org/officeDocument/2006/relationships/image" Target="../media/image93.gif"/><Relationship Id="rId98" Type="http://schemas.openxmlformats.org/officeDocument/2006/relationships/image" Target="../media/image98.gif"/><Relationship Id="rId121" Type="http://schemas.openxmlformats.org/officeDocument/2006/relationships/image" Target="../media/image121.gif"/><Relationship Id="rId142" Type="http://schemas.openxmlformats.org/officeDocument/2006/relationships/image" Target="../media/image142.gif"/><Relationship Id="rId163" Type="http://schemas.openxmlformats.org/officeDocument/2006/relationships/image" Target="../media/image163.gif"/><Relationship Id="rId184" Type="http://schemas.openxmlformats.org/officeDocument/2006/relationships/image" Target="../media/image184.gif"/><Relationship Id="rId189" Type="http://schemas.openxmlformats.org/officeDocument/2006/relationships/image" Target="../media/image189.gif"/><Relationship Id="rId3" Type="http://schemas.openxmlformats.org/officeDocument/2006/relationships/image" Target="../media/image3.gif"/><Relationship Id="rId25" Type="http://schemas.openxmlformats.org/officeDocument/2006/relationships/image" Target="../media/image25.gif"/><Relationship Id="rId46" Type="http://schemas.openxmlformats.org/officeDocument/2006/relationships/image" Target="../media/image46.gif"/><Relationship Id="rId67" Type="http://schemas.openxmlformats.org/officeDocument/2006/relationships/image" Target="../media/image67.gif"/><Relationship Id="rId116" Type="http://schemas.openxmlformats.org/officeDocument/2006/relationships/image" Target="../media/image116.gif"/><Relationship Id="rId137" Type="http://schemas.openxmlformats.org/officeDocument/2006/relationships/image" Target="../media/image137.gif"/><Relationship Id="rId158" Type="http://schemas.openxmlformats.org/officeDocument/2006/relationships/image" Target="../media/image158.gif"/><Relationship Id="rId20" Type="http://schemas.openxmlformats.org/officeDocument/2006/relationships/image" Target="../media/image20.gif"/><Relationship Id="rId41" Type="http://schemas.openxmlformats.org/officeDocument/2006/relationships/image" Target="../media/image41.gif"/><Relationship Id="rId62" Type="http://schemas.openxmlformats.org/officeDocument/2006/relationships/image" Target="../media/image62.gif"/><Relationship Id="rId83" Type="http://schemas.openxmlformats.org/officeDocument/2006/relationships/image" Target="../media/image83.gif"/><Relationship Id="rId88" Type="http://schemas.openxmlformats.org/officeDocument/2006/relationships/image" Target="../media/image88.gif"/><Relationship Id="rId111" Type="http://schemas.openxmlformats.org/officeDocument/2006/relationships/image" Target="../media/image111.gif"/><Relationship Id="rId132" Type="http://schemas.openxmlformats.org/officeDocument/2006/relationships/image" Target="../media/image132.gif"/><Relationship Id="rId153" Type="http://schemas.openxmlformats.org/officeDocument/2006/relationships/image" Target="../media/image153.gif"/><Relationship Id="rId174" Type="http://schemas.openxmlformats.org/officeDocument/2006/relationships/image" Target="../media/image174.gif"/><Relationship Id="rId179" Type="http://schemas.openxmlformats.org/officeDocument/2006/relationships/image" Target="../media/image179.gif"/><Relationship Id="rId190" Type="http://schemas.openxmlformats.org/officeDocument/2006/relationships/image" Target="../media/image190.gif"/><Relationship Id="rId15" Type="http://schemas.openxmlformats.org/officeDocument/2006/relationships/image" Target="../media/image15.gif"/><Relationship Id="rId36" Type="http://schemas.openxmlformats.org/officeDocument/2006/relationships/image" Target="../media/image36.gif"/><Relationship Id="rId57" Type="http://schemas.openxmlformats.org/officeDocument/2006/relationships/image" Target="../media/image57.gif"/><Relationship Id="rId106" Type="http://schemas.openxmlformats.org/officeDocument/2006/relationships/image" Target="../media/image106.gif"/><Relationship Id="rId127" Type="http://schemas.openxmlformats.org/officeDocument/2006/relationships/image" Target="../media/image127.gif"/><Relationship Id="rId10" Type="http://schemas.openxmlformats.org/officeDocument/2006/relationships/image" Target="../media/image10.gif"/><Relationship Id="rId31" Type="http://schemas.openxmlformats.org/officeDocument/2006/relationships/image" Target="../media/image31.gif"/><Relationship Id="rId52" Type="http://schemas.openxmlformats.org/officeDocument/2006/relationships/image" Target="../media/image52.gif"/><Relationship Id="rId73" Type="http://schemas.openxmlformats.org/officeDocument/2006/relationships/image" Target="../media/image73.gif"/><Relationship Id="rId78" Type="http://schemas.openxmlformats.org/officeDocument/2006/relationships/image" Target="../media/image78.gif"/><Relationship Id="rId94" Type="http://schemas.openxmlformats.org/officeDocument/2006/relationships/image" Target="../media/image94.gif"/><Relationship Id="rId99" Type="http://schemas.openxmlformats.org/officeDocument/2006/relationships/image" Target="../media/image99.gif"/><Relationship Id="rId101" Type="http://schemas.openxmlformats.org/officeDocument/2006/relationships/image" Target="../media/image101.gif"/><Relationship Id="rId122" Type="http://schemas.openxmlformats.org/officeDocument/2006/relationships/image" Target="../media/image122.gif"/><Relationship Id="rId143" Type="http://schemas.openxmlformats.org/officeDocument/2006/relationships/image" Target="../media/image143.gif"/><Relationship Id="rId148" Type="http://schemas.openxmlformats.org/officeDocument/2006/relationships/image" Target="../media/image148.gif"/><Relationship Id="rId164" Type="http://schemas.openxmlformats.org/officeDocument/2006/relationships/image" Target="../media/image164.gif"/><Relationship Id="rId169" Type="http://schemas.openxmlformats.org/officeDocument/2006/relationships/image" Target="../media/image169.gif"/><Relationship Id="rId185" Type="http://schemas.openxmlformats.org/officeDocument/2006/relationships/image" Target="../media/image185.gif"/><Relationship Id="rId4" Type="http://schemas.openxmlformats.org/officeDocument/2006/relationships/image" Target="../media/image4.gif"/><Relationship Id="rId9" Type="http://schemas.openxmlformats.org/officeDocument/2006/relationships/image" Target="../media/image9.gif"/><Relationship Id="rId180" Type="http://schemas.openxmlformats.org/officeDocument/2006/relationships/image" Target="../media/image180.gif"/></Relationships>
</file>

<file path=xl/drawings/_rels/drawing2.xml.rels><?xml version="1.0" encoding="UTF-8" standalone="yes"?>
<Relationships xmlns="http://schemas.openxmlformats.org/package/2006/relationships"><Relationship Id="rId8" Type="http://schemas.openxmlformats.org/officeDocument/2006/relationships/image" Target="../media/image198.gif"/><Relationship Id="rId13" Type="http://schemas.openxmlformats.org/officeDocument/2006/relationships/image" Target="../media/image203.gif"/><Relationship Id="rId18" Type="http://schemas.openxmlformats.org/officeDocument/2006/relationships/image" Target="../media/image208.gif"/><Relationship Id="rId3" Type="http://schemas.openxmlformats.org/officeDocument/2006/relationships/image" Target="../media/image193.gif"/><Relationship Id="rId7" Type="http://schemas.openxmlformats.org/officeDocument/2006/relationships/image" Target="../media/image197.gif"/><Relationship Id="rId12" Type="http://schemas.openxmlformats.org/officeDocument/2006/relationships/image" Target="../media/image202.gif"/><Relationship Id="rId17" Type="http://schemas.openxmlformats.org/officeDocument/2006/relationships/image" Target="../media/image207.gif"/><Relationship Id="rId2" Type="http://schemas.openxmlformats.org/officeDocument/2006/relationships/image" Target="../media/image192.gif"/><Relationship Id="rId16" Type="http://schemas.openxmlformats.org/officeDocument/2006/relationships/image" Target="../media/image206.gif"/><Relationship Id="rId1" Type="http://schemas.openxmlformats.org/officeDocument/2006/relationships/image" Target="../media/image191.gif"/><Relationship Id="rId6" Type="http://schemas.openxmlformats.org/officeDocument/2006/relationships/image" Target="../media/image196.gif"/><Relationship Id="rId11" Type="http://schemas.openxmlformats.org/officeDocument/2006/relationships/image" Target="../media/image201.gif"/><Relationship Id="rId5" Type="http://schemas.openxmlformats.org/officeDocument/2006/relationships/image" Target="../media/image195.gif"/><Relationship Id="rId15" Type="http://schemas.openxmlformats.org/officeDocument/2006/relationships/image" Target="../media/image205.gif"/><Relationship Id="rId10" Type="http://schemas.openxmlformats.org/officeDocument/2006/relationships/image" Target="../media/image200.gif"/><Relationship Id="rId4" Type="http://schemas.openxmlformats.org/officeDocument/2006/relationships/image" Target="../media/image194.gif"/><Relationship Id="rId9" Type="http://schemas.openxmlformats.org/officeDocument/2006/relationships/image" Target="../media/image199.gif"/><Relationship Id="rId14" Type="http://schemas.openxmlformats.org/officeDocument/2006/relationships/image" Target="../media/image204.gif"/></Relationships>
</file>

<file path=xl/drawings/drawing1.xml><?xml version="1.0" encoding="utf-8"?>
<xdr:wsDr xmlns:xdr="http://schemas.openxmlformats.org/drawingml/2006/spreadsheetDrawing" xmlns:a="http://schemas.openxmlformats.org/drawingml/2006/main">
  <xdr:twoCellAnchor>
    <xdr:from>
      <xdr:col>8</xdr:col>
      <xdr:colOff>0</xdr:colOff>
      <xdr:row>19</xdr:row>
      <xdr:rowOff>0</xdr:rowOff>
    </xdr:from>
    <xdr:to>
      <xdr:col>8</xdr:col>
      <xdr:colOff>285750</xdr:colOff>
      <xdr:row>20</xdr:row>
      <xdr:rowOff>19050</xdr:rowOff>
    </xdr:to>
    <xdr:pic>
      <xdr:nvPicPr>
        <xdr:cNvPr id="2" name="Picture 11998" descr="http://jumesyn.celestialdamnation.com/guide/weapons/ankh_power.gif"/>
        <xdr:cNvPicPr>
          <a:picLocks noChangeAspect="1" noChangeArrowheads="1"/>
        </xdr:cNvPicPr>
      </xdr:nvPicPr>
      <xdr:blipFill>
        <a:blip xmlns:r="http://schemas.openxmlformats.org/officeDocument/2006/relationships" r:embed="rId1" cstate="print"/>
        <a:srcRect/>
        <a:stretch>
          <a:fillRect/>
        </a:stretch>
      </xdr:blipFill>
      <xdr:spPr bwMode="auto">
        <a:xfrm>
          <a:off x="6791325" y="3619500"/>
          <a:ext cx="285750" cy="209550"/>
        </a:xfrm>
        <a:prstGeom prst="rect">
          <a:avLst/>
        </a:prstGeom>
        <a:noFill/>
      </xdr:spPr>
    </xdr:pic>
    <xdr:clientData/>
  </xdr:twoCellAnchor>
  <xdr:twoCellAnchor>
    <xdr:from>
      <xdr:col>8</xdr:col>
      <xdr:colOff>0</xdr:colOff>
      <xdr:row>20</xdr:row>
      <xdr:rowOff>0</xdr:rowOff>
    </xdr:from>
    <xdr:to>
      <xdr:col>8</xdr:col>
      <xdr:colOff>285750</xdr:colOff>
      <xdr:row>21</xdr:row>
      <xdr:rowOff>19050</xdr:rowOff>
    </xdr:to>
    <xdr:pic>
      <xdr:nvPicPr>
        <xdr:cNvPr id="3" name="Picture 11999" descr="http://jumesyn.celestialdamnation.com/guide/weapons/ankh_saint.gif"/>
        <xdr:cNvPicPr>
          <a:picLocks noChangeAspect="1" noChangeArrowheads="1"/>
        </xdr:cNvPicPr>
      </xdr:nvPicPr>
      <xdr:blipFill>
        <a:blip xmlns:r="http://schemas.openxmlformats.org/officeDocument/2006/relationships" r:embed="rId2" cstate="print"/>
        <a:srcRect/>
        <a:stretch>
          <a:fillRect/>
        </a:stretch>
      </xdr:blipFill>
      <xdr:spPr bwMode="auto">
        <a:xfrm>
          <a:off x="6791325" y="3810000"/>
          <a:ext cx="285750" cy="209550"/>
        </a:xfrm>
        <a:prstGeom prst="rect">
          <a:avLst/>
        </a:prstGeom>
        <a:noFill/>
      </xdr:spPr>
    </xdr:pic>
    <xdr:clientData/>
  </xdr:twoCellAnchor>
  <xdr:twoCellAnchor>
    <xdr:from>
      <xdr:col>8</xdr:col>
      <xdr:colOff>0</xdr:colOff>
      <xdr:row>21</xdr:row>
      <xdr:rowOff>0</xdr:rowOff>
    </xdr:from>
    <xdr:to>
      <xdr:col>8</xdr:col>
      <xdr:colOff>285750</xdr:colOff>
      <xdr:row>22</xdr:row>
      <xdr:rowOff>19050</xdr:rowOff>
    </xdr:to>
    <xdr:pic>
      <xdr:nvPicPr>
        <xdr:cNvPr id="4" name="Picture 12000" descr="http://jumesyn.celestialdamnation.com/guide/weapons/ankh_mystery.gif"/>
        <xdr:cNvPicPr>
          <a:picLocks noChangeAspect="1" noChangeArrowheads="1"/>
        </xdr:cNvPicPr>
      </xdr:nvPicPr>
      <xdr:blipFill>
        <a:blip xmlns:r="http://schemas.openxmlformats.org/officeDocument/2006/relationships" r:embed="rId3" cstate="print"/>
        <a:srcRect/>
        <a:stretch>
          <a:fillRect/>
        </a:stretch>
      </xdr:blipFill>
      <xdr:spPr bwMode="auto">
        <a:xfrm>
          <a:off x="6791325" y="4000500"/>
          <a:ext cx="285750" cy="209550"/>
        </a:xfrm>
        <a:prstGeom prst="rect">
          <a:avLst/>
        </a:prstGeom>
        <a:noFill/>
      </xdr:spPr>
    </xdr:pic>
    <xdr:clientData/>
  </xdr:twoCellAnchor>
  <xdr:twoCellAnchor>
    <xdr:from>
      <xdr:col>8</xdr:col>
      <xdr:colOff>0</xdr:colOff>
      <xdr:row>23</xdr:row>
      <xdr:rowOff>0</xdr:rowOff>
    </xdr:from>
    <xdr:to>
      <xdr:col>8</xdr:col>
      <xdr:colOff>285750</xdr:colOff>
      <xdr:row>23</xdr:row>
      <xdr:rowOff>285750</xdr:rowOff>
    </xdr:to>
    <xdr:pic>
      <xdr:nvPicPr>
        <xdr:cNvPr id="5" name="Picture 12001" descr="http://jumesyn.celestialdamnation.com/guide/weapons/ankh_druid.gif"/>
        <xdr:cNvPicPr>
          <a:picLocks noChangeAspect="1" noChangeArrowheads="1"/>
        </xdr:cNvPicPr>
      </xdr:nvPicPr>
      <xdr:blipFill>
        <a:blip xmlns:r="http://schemas.openxmlformats.org/officeDocument/2006/relationships" r:embed="rId4" cstate="print"/>
        <a:srcRect/>
        <a:stretch>
          <a:fillRect/>
        </a:stretch>
      </xdr:blipFill>
      <xdr:spPr bwMode="auto">
        <a:xfrm>
          <a:off x="6791325" y="4381500"/>
          <a:ext cx="285750" cy="190500"/>
        </a:xfrm>
        <a:prstGeom prst="rect">
          <a:avLst/>
        </a:prstGeom>
        <a:noFill/>
      </xdr:spPr>
    </xdr:pic>
    <xdr:clientData/>
  </xdr:twoCellAnchor>
  <xdr:twoCellAnchor>
    <xdr:from>
      <xdr:col>8</xdr:col>
      <xdr:colOff>0</xdr:colOff>
      <xdr:row>25</xdr:row>
      <xdr:rowOff>0</xdr:rowOff>
    </xdr:from>
    <xdr:to>
      <xdr:col>8</xdr:col>
      <xdr:colOff>285750</xdr:colOff>
      <xdr:row>25</xdr:row>
      <xdr:rowOff>285750</xdr:rowOff>
    </xdr:to>
    <xdr:pic>
      <xdr:nvPicPr>
        <xdr:cNvPr id="6" name="Picture 12002" descr="http://jumesyn.celestialdamnation.com/guide/weapons/ankh_silent.gif"/>
        <xdr:cNvPicPr>
          <a:picLocks noChangeAspect="1" noChangeArrowheads="1"/>
        </xdr:cNvPicPr>
      </xdr:nvPicPr>
      <xdr:blipFill>
        <a:blip xmlns:r="http://schemas.openxmlformats.org/officeDocument/2006/relationships" r:embed="rId5" cstate="print"/>
        <a:srcRect/>
        <a:stretch>
          <a:fillRect/>
        </a:stretch>
      </xdr:blipFill>
      <xdr:spPr bwMode="auto">
        <a:xfrm>
          <a:off x="6791325" y="4762500"/>
          <a:ext cx="285750" cy="190500"/>
        </a:xfrm>
        <a:prstGeom prst="rect">
          <a:avLst/>
        </a:prstGeom>
        <a:noFill/>
      </xdr:spPr>
    </xdr:pic>
    <xdr:clientData/>
  </xdr:twoCellAnchor>
  <xdr:twoCellAnchor>
    <xdr:from>
      <xdr:col>8</xdr:col>
      <xdr:colOff>0</xdr:colOff>
      <xdr:row>27</xdr:row>
      <xdr:rowOff>0</xdr:rowOff>
    </xdr:from>
    <xdr:to>
      <xdr:col>8</xdr:col>
      <xdr:colOff>285750</xdr:colOff>
      <xdr:row>27</xdr:row>
      <xdr:rowOff>285750</xdr:rowOff>
    </xdr:to>
    <xdr:pic>
      <xdr:nvPicPr>
        <xdr:cNvPr id="7" name="Picture 12003" descr="http://jumesyn.celestialdamnation.com/guide/weapons/ankh_seraphic.gif"/>
        <xdr:cNvPicPr>
          <a:picLocks noChangeAspect="1" noChangeArrowheads="1"/>
        </xdr:cNvPicPr>
      </xdr:nvPicPr>
      <xdr:blipFill>
        <a:blip xmlns:r="http://schemas.openxmlformats.org/officeDocument/2006/relationships" r:embed="rId6" cstate="print"/>
        <a:srcRect/>
        <a:stretch>
          <a:fillRect/>
        </a:stretch>
      </xdr:blipFill>
      <xdr:spPr bwMode="auto">
        <a:xfrm>
          <a:off x="6791325" y="5143500"/>
          <a:ext cx="285750" cy="190500"/>
        </a:xfrm>
        <a:prstGeom prst="rect">
          <a:avLst/>
        </a:prstGeom>
        <a:noFill/>
      </xdr:spPr>
    </xdr:pic>
    <xdr:clientData/>
  </xdr:twoCellAnchor>
  <xdr:twoCellAnchor>
    <xdr:from>
      <xdr:col>8</xdr:col>
      <xdr:colOff>0</xdr:colOff>
      <xdr:row>29</xdr:row>
      <xdr:rowOff>0</xdr:rowOff>
    </xdr:from>
    <xdr:to>
      <xdr:col>8</xdr:col>
      <xdr:colOff>285750</xdr:colOff>
      <xdr:row>30</xdr:row>
      <xdr:rowOff>19050</xdr:rowOff>
    </xdr:to>
    <xdr:pic>
      <xdr:nvPicPr>
        <xdr:cNvPr id="8" name="Picture 12004" descr="http://jumesyn.celestialdamnation.com/guide/weapons/ankh_element.gif"/>
        <xdr:cNvPicPr>
          <a:picLocks noChangeAspect="1" noChangeArrowheads="1"/>
        </xdr:cNvPicPr>
      </xdr:nvPicPr>
      <xdr:blipFill>
        <a:blip xmlns:r="http://schemas.openxmlformats.org/officeDocument/2006/relationships" r:embed="rId7" cstate="print"/>
        <a:srcRect/>
        <a:stretch>
          <a:fillRect/>
        </a:stretch>
      </xdr:blipFill>
      <xdr:spPr bwMode="auto">
        <a:xfrm>
          <a:off x="6791325" y="5524500"/>
          <a:ext cx="285750" cy="209550"/>
        </a:xfrm>
        <a:prstGeom prst="rect">
          <a:avLst/>
        </a:prstGeom>
        <a:noFill/>
      </xdr:spPr>
    </xdr:pic>
    <xdr:clientData/>
  </xdr:twoCellAnchor>
  <xdr:twoCellAnchor>
    <xdr:from>
      <xdr:col>8</xdr:col>
      <xdr:colOff>0</xdr:colOff>
      <xdr:row>31</xdr:row>
      <xdr:rowOff>0</xdr:rowOff>
    </xdr:from>
    <xdr:to>
      <xdr:col>8</xdr:col>
      <xdr:colOff>285750</xdr:colOff>
      <xdr:row>31</xdr:row>
      <xdr:rowOff>285750</xdr:rowOff>
    </xdr:to>
    <xdr:pic>
      <xdr:nvPicPr>
        <xdr:cNvPr id="9" name="Picture 12005" descr="http://jumesyn.celestialdamnation.com/guide/weapons/ankh_of_mitra.gif"/>
        <xdr:cNvPicPr>
          <a:picLocks noChangeAspect="1" noChangeArrowheads="1"/>
        </xdr:cNvPicPr>
      </xdr:nvPicPr>
      <xdr:blipFill>
        <a:blip xmlns:r="http://schemas.openxmlformats.org/officeDocument/2006/relationships" r:embed="rId8" cstate="print"/>
        <a:srcRect/>
        <a:stretch>
          <a:fillRect/>
        </a:stretch>
      </xdr:blipFill>
      <xdr:spPr bwMode="auto">
        <a:xfrm>
          <a:off x="6791325" y="5905500"/>
          <a:ext cx="285750" cy="190500"/>
        </a:xfrm>
        <a:prstGeom prst="rect">
          <a:avLst/>
        </a:prstGeom>
        <a:noFill/>
      </xdr:spPr>
    </xdr:pic>
    <xdr:clientData/>
  </xdr:twoCellAnchor>
  <xdr:twoCellAnchor>
    <xdr:from>
      <xdr:col>8</xdr:col>
      <xdr:colOff>0</xdr:colOff>
      <xdr:row>33</xdr:row>
      <xdr:rowOff>0</xdr:rowOff>
    </xdr:from>
    <xdr:to>
      <xdr:col>8</xdr:col>
      <xdr:colOff>285750</xdr:colOff>
      <xdr:row>33</xdr:row>
      <xdr:rowOff>285750</xdr:rowOff>
    </xdr:to>
    <xdr:pic>
      <xdr:nvPicPr>
        <xdr:cNvPr id="10" name="Picture 12006" descr="http://jumesyn.celestialdamnation.com/guide/weapons/ankh_raphael.gif"/>
        <xdr:cNvPicPr>
          <a:picLocks noChangeAspect="1" noChangeArrowheads="1"/>
        </xdr:cNvPicPr>
      </xdr:nvPicPr>
      <xdr:blipFill>
        <a:blip xmlns:r="http://schemas.openxmlformats.org/officeDocument/2006/relationships" r:embed="rId9" cstate="print"/>
        <a:srcRect/>
        <a:stretch>
          <a:fillRect/>
        </a:stretch>
      </xdr:blipFill>
      <xdr:spPr bwMode="auto">
        <a:xfrm>
          <a:off x="6791325" y="6286500"/>
          <a:ext cx="285750" cy="190500"/>
        </a:xfrm>
        <a:prstGeom prst="rect">
          <a:avLst/>
        </a:prstGeom>
        <a:noFill/>
      </xdr:spPr>
    </xdr:pic>
    <xdr:clientData/>
  </xdr:twoCellAnchor>
  <xdr:twoCellAnchor>
    <xdr:from>
      <xdr:col>8</xdr:col>
      <xdr:colOff>0</xdr:colOff>
      <xdr:row>35</xdr:row>
      <xdr:rowOff>0</xdr:rowOff>
    </xdr:from>
    <xdr:to>
      <xdr:col>8</xdr:col>
      <xdr:colOff>285750</xdr:colOff>
      <xdr:row>35</xdr:row>
      <xdr:rowOff>285750</xdr:rowOff>
    </xdr:to>
    <xdr:pic>
      <xdr:nvPicPr>
        <xdr:cNvPr id="11" name="Picture 12007" descr="http://jumesyn.celestialdamnation.com/guide/weapons/ankh_golgoda.gif"/>
        <xdr:cNvPicPr>
          <a:picLocks noChangeAspect="1" noChangeArrowheads="1"/>
        </xdr:cNvPicPr>
      </xdr:nvPicPr>
      <xdr:blipFill>
        <a:blip xmlns:r="http://schemas.openxmlformats.org/officeDocument/2006/relationships" r:embed="rId10" cstate="print"/>
        <a:srcRect/>
        <a:stretch>
          <a:fillRect/>
        </a:stretch>
      </xdr:blipFill>
      <xdr:spPr bwMode="auto">
        <a:xfrm>
          <a:off x="6791325" y="6667500"/>
          <a:ext cx="285750" cy="190500"/>
        </a:xfrm>
        <a:prstGeom prst="rect">
          <a:avLst/>
        </a:prstGeom>
        <a:noFill/>
      </xdr:spPr>
    </xdr:pic>
    <xdr:clientData/>
  </xdr:twoCellAnchor>
  <xdr:twoCellAnchor>
    <xdr:from>
      <xdr:col>8</xdr:col>
      <xdr:colOff>0</xdr:colOff>
      <xdr:row>41</xdr:row>
      <xdr:rowOff>0</xdr:rowOff>
    </xdr:from>
    <xdr:to>
      <xdr:col>8</xdr:col>
      <xdr:colOff>285750</xdr:colOff>
      <xdr:row>42</xdr:row>
      <xdr:rowOff>19050</xdr:rowOff>
    </xdr:to>
    <xdr:pic>
      <xdr:nvPicPr>
        <xdr:cNvPr id="12" name="Picture 12008" descr="http://jumesyn.celestialdamnation.com/guide/weapons/arrow_wooden.gif"/>
        <xdr:cNvPicPr>
          <a:picLocks noChangeAspect="1" noChangeArrowheads="1"/>
        </xdr:cNvPicPr>
      </xdr:nvPicPr>
      <xdr:blipFill>
        <a:blip xmlns:r="http://schemas.openxmlformats.org/officeDocument/2006/relationships" r:embed="rId11" cstate="print"/>
        <a:srcRect/>
        <a:stretch>
          <a:fillRect/>
        </a:stretch>
      </xdr:blipFill>
      <xdr:spPr bwMode="auto">
        <a:xfrm>
          <a:off x="6791325" y="7810500"/>
          <a:ext cx="285750" cy="209550"/>
        </a:xfrm>
        <a:prstGeom prst="rect">
          <a:avLst/>
        </a:prstGeom>
        <a:noFill/>
      </xdr:spPr>
    </xdr:pic>
    <xdr:clientData/>
  </xdr:twoCellAnchor>
  <xdr:twoCellAnchor>
    <xdr:from>
      <xdr:col>8</xdr:col>
      <xdr:colOff>0</xdr:colOff>
      <xdr:row>43</xdr:row>
      <xdr:rowOff>0</xdr:rowOff>
    </xdr:from>
    <xdr:to>
      <xdr:col>8</xdr:col>
      <xdr:colOff>285750</xdr:colOff>
      <xdr:row>44</xdr:row>
      <xdr:rowOff>19050</xdr:rowOff>
    </xdr:to>
    <xdr:pic>
      <xdr:nvPicPr>
        <xdr:cNvPr id="13" name="Picture 12009" descr="http://jumesyn.celestialdamnation.com/guide/weapons/arrow_steel.gif"/>
        <xdr:cNvPicPr>
          <a:picLocks noChangeAspect="1" noChangeArrowheads="1"/>
        </xdr:cNvPicPr>
      </xdr:nvPicPr>
      <xdr:blipFill>
        <a:blip xmlns:r="http://schemas.openxmlformats.org/officeDocument/2006/relationships" r:embed="rId12" cstate="print"/>
        <a:srcRect/>
        <a:stretch>
          <a:fillRect/>
        </a:stretch>
      </xdr:blipFill>
      <xdr:spPr bwMode="auto">
        <a:xfrm>
          <a:off x="6791325" y="8191500"/>
          <a:ext cx="285750" cy="209550"/>
        </a:xfrm>
        <a:prstGeom prst="rect">
          <a:avLst/>
        </a:prstGeom>
        <a:noFill/>
      </xdr:spPr>
    </xdr:pic>
    <xdr:clientData/>
  </xdr:twoCellAnchor>
  <xdr:twoCellAnchor>
    <xdr:from>
      <xdr:col>8</xdr:col>
      <xdr:colOff>0</xdr:colOff>
      <xdr:row>45</xdr:row>
      <xdr:rowOff>0</xdr:rowOff>
    </xdr:from>
    <xdr:to>
      <xdr:col>8</xdr:col>
      <xdr:colOff>285750</xdr:colOff>
      <xdr:row>46</xdr:row>
      <xdr:rowOff>19050</xdr:rowOff>
    </xdr:to>
    <xdr:pic>
      <xdr:nvPicPr>
        <xdr:cNvPr id="14" name="Picture 12010" descr="http://jumesyn.celestialdamnation.com/guide/weapons/arrow_robin.gif"/>
        <xdr:cNvPicPr>
          <a:picLocks noChangeAspect="1" noChangeArrowheads="1"/>
        </xdr:cNvPicPr>
      </xdr:nvPicPr>
      <xdr:blipFill>
        <a:blip xmlns:r="http://schemas.openxmlformats.org/officeDocument/2006/relationships" r:embed="rId13" cstate="print"/>
        <a:srcRect/>
        <a:stretch>
          <a:fillRect/>
        </a:stretch>
      </xdr:blipFill>
      <xdr:spPr bwMode="auto">
        <a:xfrm>
          <a:off x="6791325" y="8572500"/>
          <a:ext cx="285750" cy="209550"/>
        </a:xfrm>
        <a:prstGeom prst="rect">
          <a:avLst/>
        </a:prstGeom>
        <a:noFill/>
      </xdr:spPr>
    </xdr:pic>
    <xdr:clientData/>
  </xdr:twoCellAnchor>
  <xdr:twoCellAnchor>
    <xdr:from>
      <xdr:col>8</xdr:col>
      <xdr:colOff>0</xdr:colOff>
      <xdr:row>47</xdr:row>
      <xdr:rowOff>0</xdr:rowOff>
    </xdr:from>
    <xdr:to>
      <xdr:col>8</xdr:col>
      <xdr:colOff>285750</xdr:colOff>
      <xdr:row>48</xdr:row>
      <xdr:rowOff>19050</xdr:rowOff>
    </xdr:to>
    <xdr:pic>
      <xdr:nvPicPr>
        <xdr:cNvPr id="15" name="Picture 12011" descr="http://jumesyn.celestialdamnation.com/guide/weapons/arrow_kings.gif"/>
        <xdr:cNvPicPr>
          <a:picLocks noChangeAspect="1" noChangeArrowheads="1"/>
        </xdr:cNvPicPr>
      </xdr:nvPicPr>
      <xdr:blipFill>
        <a:blip xmlns:r="http://schemas.openxmlformats.org/officeDocument/2006/relationships" r:embed="rId14" cstate="print"/>
        <a:srcRect/>
        <a:stretch>
          <a:fillRect/>
        </a:stretch>
      </xdr:blipFill>
      <xdr:spPr bwMode="auto">
        <a:xfrm>
          <a:off x="6791325" y="8953500"/>
          <a:ext cx="285750" cy="209550"/>
        </a:xfrm>
        <a:prstGeom prst="rect">
          <a:avLst/>
        </a:prstGeom>
        <a:noFill/>
      </xdr:spPr>
    </xdr:pic>
    <xdr:clientData/>
  </xdr:twoCellAnchor>
  <xdr:twoCellAnchor>
    <xdr:from>
      <xdr:col>8</xdr:col>
      <xdr:colOff>0</xdr:colOff>
      <xdr:row>49</xdr:row>
      <xdr:rowOff>0</xdr:rowOff>
    </xdr:from>
    <xdr:to>
      <xdr:col>8</xdr:col>
      <xdr:colOff>285750</xdr:colOff>
      <xdr:row>49</xdr:row>
      <xdr:rowOff>285750</xdr:rowOff>
    </xdr:to>
    <xdr:pic>
      <xdr:nvPicPr>
        <xdr:cNvPr id="16" name="Picture 12012" descr="http://jumesyn.celestialdamnation.com/guide/weapons/arrow_of_the_moonlight.gif"/>
        <xdr:cNvPicPr>
          <a:picLocks noChangeAspect="1" noChangeArrowheads="1"/>
        </xdr:cNvPicPr>
      </xdr:nvPicPr>
      <xdr:blipFill>
        <a:blip xmlns:r="http://schemas.openxmlformats.org/officeDocument/2006/relationships" r:embed="rId15" cstate="print"/>
        <a:srcRect/>
        <a:stretch>
          <a:fillRect/>
        </a:stretch>
      </xdr:blipFill>
      <xdr:spPr bwMode="auto">
        <a:xfrm>
          <a:off x="6791325" y="9334500"/>
          <a:ext cx="285750" cy="190500"/>
        </a:xfrm>
        <a:prstGeom prst="rect">
          <a:avLst/>
        </a:prstGeom>
        <a:noFill/>
      </xdr:spPr>
    </xdr:pic>
    <xdr:clientData/>
  </xdr:twoCellAnchor>
  <xdr:twoCellAnchor>
    <xdr:from>
      <xdr:col>8</xdr:col>
      <xdr:colOff>0</xdr:colOff>
      <xdr:row>51</xdr:row>
      <xdr:rowOff>0</xdr:rowOff>
    </xdr:from>
    <xdr:to>
      <xdr:col>8</xdr:col>
      <xdr:colOff>285750</xdr:colOff>
      <xdr:row>51</xdr:row>
      <xdr:rowOff>285750</xdr:rowOff>
    </xdr:to>
    <xdr:pic>
      <xdr:nvPicPr>
        <xdr:cNvPr id="17" name="Picture 12013" descr="http://jumesyn.celestialdamnation.com/guide/weapons/arrow_of_dragonbone.gif"/>
        <xdr:cNvPicPr>
          <a:picLocks noChangeAspect="1" noChangeArrowheads="1"/>
        </xdr:cNvPicPr>
      </xdr:nvPicPr>
      <xdr:blipFill>
        <a:blip xmlns:r="http://schemas.openxmlformats.org/officeDocument/2006/relationships" r:embed="rId16" cstate="print"/>
        <a:srcRect/>
        <a:stretch>
          <a:fillRect/>
        </a:stretch>
      </xdr:blipFill>
      <xdr:spPr bwMode="auto">
        <a:xfrm>
          <a:off x="6791325" y="9715500"/>
          <a:ext cx="285750" cy="190500"/>
        </a:xfrm>
        <a:prstGeom prst="rect">
          <a:avLst/>
        </a:prstGeom>
        <a:noFill/>
      </xdr:spPr>
    </xdr:pic>
    <xdr:clientData/>
  </xdr:twoCellAnchor>
  <xdr:twoCellAnchor>
    <xdr:from>
      <xdr:col>8</xdr:col>
      <xdr:colOff>0</xdr:colOff>
      <xdr:row>53</xdr:row>
      <xdr:rowOff>0</xdr:rowOff>
    </xdr:from>
    <xdr:to>
      <xdr:col>8</xdr:col>
      <xdr:colOff>285750</xdr:colOff>
      <xdr:row>53</xdr:row>
      <xdr:rowOff>285750</xdr:rowOff>
    </xdr:to>
    <xdr:pic>
      <xdr:nvPicPr>
        <xdr:cNvPr id="18" name="Picture 12014" descr="http://jumesyn.celestialdamnation.com/guide/weapons/arrow_demon_breaker.gif"/>
        <xdr:cNvPicPr>
          <a:picLocks noChangeAspect="1" noChangeArrowheads="1"/>
        </xdr:cNvPicPr>
      </xdr:nvPicPr>
      <xdr:blipFill>
        <a:blip xmlns:r="http://schemas.openxmlformats.org/officeDocument/2006/relationships" r:embed="rId17" cstate="print"/>
        <a:srcRect/>
        <a:stretch>
          <a:fillRect/>
        </a:stretch>
      </xdr:blipFill>
      <xdr:spPr bwMode="auto">
        <a:xfrm>
          <a:off x="6791325" y="10096500"/>
          <a:ext cx="285750" cy="190500"/>
        </a:xfrm>
        <a:prstGeom prst="rect">
          <a:avLst/>
        </a:prstGeom>
        <a:noFill/>
      </xdr:spPr>
    </xdr:pic>
    <xdr:clientData/>
  </xdr:twoCellAnchor>
  <xdr:twoCellAnchor>
    <xdr:from>
      <xdr:col>8</xdr:col>
      <xdr:colOff>0</xdr:colOff>
      <xdr:row>55</xdr:row>
      <xdr:rowOff>0</xdr:rowOff>
    </xdr:from>
    <xdr:to>
      <xdr:col>8</xdr:col>
      <xdr:colOff>285750</xdr:colOff>
      <xdr:row>56</xdr:row>
      <xdr:rowOff>19050</xdr:rowOff>
    </xdr:to>
    <xdr:pic>
      <xdr:nvPicPr>
        <xdr:cNvPr id="19" name="Picture 12015" descr="http://jumesyn.celestialdamnation.com/guide/weapons/arrow_kankarera.gif"/>
        <xdr:cNvPicPr>
          <a:picLocks noChangeAspect="1" noChangeArrowheads="1"/>
        </xdr:cNvPicPr>
      </xdr:nvPicPr>
      <xdr:blipFill>
        <a:blip xmlns:r="http://schemas.openxmlformats.org/officeDocument/2006/relationships" r:embed="rId18" cstate="print"/>
        <a:srcRect/>
        <a:stretch>
          <a:fillRect/>
        </a:stretch>
      </xdr:blipFill>
      <xdr:spPr bwMode="auto">
        <a:xfrm>
          <a:off x="6791325" y="10477500"/>
          <a:ext cx="285750" cy="209550"/>
        </a:xfrm>
        <a:prstGeom prst="rect">
          <a:avLst/>
        </a:prstGeom>
        <a:noFill/>
      </xdr:spPr>
    </xdr:pic>
    <xdr:clientData/>
  </xdr:twoCellAnchor>
  <xdr:twoCellAnchor>
    <xdr:from>
      <xdr:col>8</xdr:col>
      <xdr:colOff>0</xdr:colOff>
      <xdr:row>57</xdr:row>
      <xdr:rowOff>0</xdr:rowOff>
    </xdr:from>
    <xdr:to>
      <xdr:col>8</xdr:col>
      <xdr:colOff>285750</xdr:colOff>
      <xdr:row>58</xdr:row>
      <xdr:rowOff>19050</xdr:rowOff>
    </xdr:to>
    <xdr:pic>
      <xdr:nvPicPr>
        <xdr:cNvPr id="20" name="Picture 12016" descr="http://jumesyn.celestialdamnation.com/guide/weapons/arrow_sagittarius.gif"/>
        <xdr:cNvPicPr>
          <a:picLocks noChangeAspect="1" noChangeArrowheads="1"/>
        </xdr:cNvPicPr>
      </xdr:nvPicPr>
      <xdr:blipFill>
        <a:blip xmlns:r="http://schemas.openxmlformats.org/officeDocument/2006/relationships" r:embed="rId19" cstate="print"/>
        <a:srcRect/>
        <a:stretch>
          <a:fillRect/>
        </a:stretch>
      </xdr:blipFill>
      <xdr:spPr bwMode="auto">
        <a:xfrm>
          <a:off x="6791325" y="10858500"/>
          <a:ext cx="285750" cy="209550"/>
        </a:xfrm>
        <a:prstGeom prst="rect">
          <a:avLst/>
        </a:prstGeom>
        <a:noFill/>
      </xdr:spPr>
    </xdr:pic>
    <xdr:clientData/>
  </xdr:twoCellAnchor>
  <xdr:twoCellAnchor>
    <xdr:from>
      <xdr:col>8</xdr:col>
      <xdr:colOff>0</xdr:colOff>
      <xdr:row>62</xdr:row>
      <xdr:rowOff>0</xdr:rowOff>
    </xdr:from>
    <xdr:to>
      <xdr:col>8</xdr:col>
      <xdr:colOff>285750</xdr:colOff>
      <xdr:row>63</xdr:row>
      <xdr:rowOff>19050</xdr:rowOff>
    </xdr:to>
    <xdr:pic>
      <xdr:nvPicPr>
        <xdr:cNvPr id="21" name="Picture 12017" descr="http://jumesyn.celestialdamnation.com/guide/weapons/axe_middle.gif"/>
        <xdr:cNvPicPr>
          <a:picLocks noChangeAspect="1" noChangeArrowheads="1"/>
        </xdr:cNvPicPr>
      </xdr:nvPicPr>
      <xdr:blipFill>
        <a:blip xmlns:r="http://schemas.openxmlformats.org/officeDocument/2006/relationships" r:embed="rId20" cstate="print"/>
        <a:srcRect/>
        <a:stretch>
          <a:fillRect/>
        </a:stretch>
      </xdr:blipFill>
      <xdr:spPr bwMode="auto">
        <a:xfrm>
          <a:off x="6791325" y="11811000"/>
          <a:ext cx="285750" cy="209550"/>
        </a:xfrm>
        <a:prstGeom prst="rect">
          <a:avLst/>
        </a:prstGeom>
        <a:noFill/>
      </xdr:spPr>
    </xdr:pic>
    <xdr:clientData/>
  </xdr:twoCellAnchor>
  <xdr:twoCellAnchor>
    <xdr:from>
      <xdr:col>8</xdr:col>
      <xdr:colOff>0</xdr:colOff>
      <xdr:row>64</xdr:row>
      <xdr:rowOff>0</xdr:rowOff>
    </xdr:from>
    <xdr:to>
      <xdr:col>8</xdr:col>
      <xdr:colOff>285750</xdr:colOff>
      <xdr:row>65</xdr:row>
      <xdr:rowOff>19050</xdr:rowOff>
    </xdr:to>
    <xdr:pic>
      <xdr:nvPicPr>
        <xdr:cNvPr id="22" name="Picture 12018" descr="http://jumesyn.celestialdamnation.com/guide/weapons/axe_power.gif"/>
        <xdr:cNvPicPr>
          <a:picLocks noChangeAspect="1" noChangeArrowheads="1"/>
        </xdr:cNvPicPr>
      </xdr:nvPicPr>
      <xdr:blipFill>
        <a:blip xmlns:r="http://schemas.openxmlformats.org/officeDocument/2006/relationships" r:embed="rId21" cstate="print"/>
        <a:srcRect/>
        <a:stretch>
          <a:fillRect/>
        </a:stretch>
      </xdr:blipFill>
      <xdr:spPr bwMode="auto">
        <a:xfrm>
          <a:off x="6791325" y="12192000"/>
          <a:ext cx="285750" cy="209550"/>
        </a:xfrm>
        <a:prstGeom prst="rect">
          <a:avLst/>
        </a:prstGeom>
        <a:noFill/>
      </xdr:spPr>
    </xdr:pic>
    <xdr:clientData/>
  </xdr:twoCellAnchor>
  <xdr:twoCellAnchor>
    <xdr:from>
      <xdr:col>8</xdr:col>
      <xdr:colOff>0</xdr:colOff>
      <xdr:row>65</xdr:row>
      <xdr:rowOff>0</xdr:rowOff>
    </xdr:from>
    <xdr:to>
      <xdr:col>8</xdr:col>
      <xdr:colOff>285750</xdr:colOff>
      <xdr:row>66</xdr:row>
      <xdr:rowOff>19050</xdr:rowOff>
    </xdr:to>
    <xdr:pic>
      <xdr:nvPicPr>
        <xdr:cNvPr id="23" name="Picture 12019" descr="http://jumesyn.celestialdamnation.com/guide/weapons/axe_battle.gif"/>
        <xdr:cNvPicPr>
          <a:picLocks noChangeAspect="1" noChangeArrowheads="1"/>
        </xdr:cNvPicPr>
      </xdr:nvPicPr>
      <xdr:blipFill>
        <a:blip xmlns:r="http://schemas.openxmlformats.org/officeDocument/2006/relationships" r:embed="rId22" cstate="print"/>
        <a:srcRect/>
        <a:stretch>
          <a:fillRect/>
        </a:stretch>
      </xdr:blipFill>
      <xdr:spPr bwMode="auto">
        <a:xfrm>
          <a:off x="6791325" y="12382500"/>
          <a:ext cx="285750" cy="209550"/>
        </a:xfrm>
        <a:prstGeom prst="rect">
          <a:avLst/>
        </a:prstGeom>
        <a:noFill/>
      </xdr:spPr>
    </xdr:pic>
    <xdr:clientData/>
  </xdr:twoCellAnchor>
  <xdr:twoCellAnchor>
    <xdr:from>
      <xdr:col>8</xdr:col>
      <xdr:colOff>0</xdr:colOff>
      <xdr:row>66</xdr:row>
      <xdr:rowOff>0</xdr:rowOff>
    </xdr:from>
    <xdr:to>
      <xdr:col>8</xdr:col>
      <xdr:colOff>285750</xdr:colOff>
      <xdr:row>67</xdr:row>
      <xdr:rowOff>85725</xdr:rowOff>
    </xdr:to>
    <xdr:pic>
      <xdr:nvPicPr>
        <xdr:cNvPr id="24" name="Picture 12020" descr="http://jumesyn.celestialdamnation.com/guide/weapons/axe_great.gif"/>
        <xdr:cNvPicPr>
          <a:picLocks noChangeAspect="1" noChangeArrowheads="1"/>
        </xdr:cNvPicPr>
      </xdr:nvPicPr>
      <xdr:blipFill>
        <a:blip xmlns:r="http://schemas.openxmlformats.org/officeDocument/2006/relationships" r:embed="rId23" cstate="print"/>
        <a:srcRect/>
        <a:stretch>
          <a:fillRect/>
        </a:stretch>
      </xdr:blipFill>
      <xdr:spPr bwMode="auto">
        <a:xfrm>
          <a:off x="6791325" y="12573000"/>
          <a:ext cx="285750" cy="276225"/>
        </a:xfrm>
        <a:prstGeom prst="rect">
          <a:avLst/>
        </a:prstGeom>
        <a:noFill/>
      </xdr:spPr>
    </xdr:pic>
    <xdr:clientData/>
  </xdr:twoCellAnchor>
  <xdr:twoCellAnchor>
    <xdr:from>
      <xdr:col>8</xdr:col>
      <xdr:colOff>0</xdr:colOff>
      <xdr:row>67</xdr:row>
      <xdr:rowOff>0</xdr:rowOff>
    </xdr:from>
    <xdr:to>
      <xdr:col>8</xdr:col>
      <xdr:colOff>285750</xdr:colOff>
      <xdr:row>67</xdr:row>
      <xdr:rowOff>285750</xdr:rowOff>
    </xdr:to>
    <xdr:pic>
      <xdr:nvPicPr>
        <xdr:cNvPr id="25" name="Picture 12021" descr="http://jumesyn.celestialdamnation.com/guide/weapons/axe_heat.gif"/>
        <xdr:cNvPicPr>
          <a:picLocks noChangeAspect="1" noChangeArrowheads="1"/>
        </xdr:cNvPicPr>
      </xdr:nvPicPr>
      <xdr:blipFill>
        <a:blip xmlns:r="http://schemas.openxmlformats.org/officeDocument/2006/relationships" r:embed="rId24" cstate="print"/>
        <a:srcRect/>
        <a:stretch>
          <a:fillRect/>
        </a:stretch>
      </xdr:blipFill>
      <xdr:spPr bwMode="auto">
        <a:xfrm>
          <a:off x="6791325" y="12763500"/>
          <a:ext cx="285750" cy="190500"/>
        </a:xfrm>
        <a:prstGeom prst="rect">
          <a:avLst/>
        </a:prstGeom>
        <a:noFill/>
      </xdr:spPr>
    </xdr:pic>
    <xdr:clientData/>
  </xdr:twoCellAnchor>
  <xdr:twoCellAnchor>
    <xdr:from>
      <xdr:col>8</xdr:col>
      <xdr:colOff>0</xdr:colOff>
      <xdr:row>68</xdr:row>
      <xdr:rowOff>0</xdr:rowOff>
    </xdr:from>
    <xdr:to>
      <xdr:col>8</xdr:col>
      <xdr:colOff>285750</xdr:colOff>
      <xdr:row>69</xdr:row>
      <xdr:rowOff>95250</xdr:rowOff>
    </xdr:to>
    <xdr:pic>
      <xdr:nvPicPr>
        <xdr:cNvPr id="26" name="Picture 12022" descr="http://jumesyn.celestialdamnation.com/guide/weapons/axe_giant.gif"/>
        <xdr:cNvPicPr>
          <a:picLocks noChangeAspect="1" noChangeArrowheads="1"/>
        </xdr:cNvPicPr>
      </xdr:nvPicPr>
      <xdr:blipFill>
        <a:blip xmlns:r="http://schemas.openxmlformats.org/officeDocument/2006/relationships" r:embed="rId25" cstate="print"/>
        <a:srcRect/>
        <a:stretch>
          <a:fillRect/>
        </a:stretch>
      </xdr:blipFill>
      <xdr:spPr bwMode="auto">
        <a:xfrm>
          <a:off x="6791325" y="12954000"/>
          <a:ext cx="285750" cy="285750"/>
        </a:xfrm>
        <a:prstGeom prst="rect">
          <a:avLst/>
        </a:prstGeom>
        <a:noFill/>
      </xdr:spPr>
    </xdr:pic>
    <xdr:clientData/>
  </xdr:twoCellAnchor>
  <xdr:twoCellAnchor>
    <xdr:from>
      <xdr:col>8</xdr:col>
      <xdr:colOff>0</xdr:colOff>
      <xdr:row>70</xdr:row>
      <xdr:rowOff>0</xdr:rowOff>
    </xdr:from>
    <xdr:to>
      <xdr:col>8</xdr:col>
      <xdr:colOff>285750</xdr:colOff>
      <xdr:row>71</xdr:row>
      <xdr:rowOff>19050</xdr:rowOff>
    </xdr:to>
    <xdr:pic>
      <xdr:nvPicPr>
        <xdr:cNvPr id="27" name="Picture 12023" descr="http://jumesyn.celestialdamnation.com/guide/weapons/axe_dragon.gif"/>
        <xdr:cNvPicPr>
          <a:picLocks noChangeAspect="1" noChangeArrowheads="1"/>
        </xdr:cNvPicPr>
      </xdr:nvPicPr>
      <xdr:blipFill>
        <a:blip xmlns:r="http://schemas.openxmlformats.org/officeDocument/2006/relationships" r:embed="rId26" cstate="print"/>
        <a:srcRect/>
        <a:stretch>
          <a:fillRect/>
        </a:stretch>
      </xdr:blipFill>
      <xdr:spPr bwMode="auto">
        <a:xfrm>
          <a:off x="6791325" y="13335000"/>
          <a:ext cx="285750" cy="209550"/>
        </a:xfrm>
        <a:prstGeom prst="rect">
          <a:avLst/>
        </a:prstGeom>
        <a:noFill/>
      </xdr:spPr>
    </xdr:pic>
    <xdr:clientData/>
  </xdr:twoCellAnchor>
  <xdr:twoCellAnchor>
    <xdr:from>
      <xdr:col>8</xdr:col>
      <xdr:colOff>0</xdr:colOff>
      <xdr:row>72</xdr:row>
      <xdr:rowOff>0</xdr:rowOff>
    </xdr:from>
    <xdr:to>
      <xdr:col>8</xdr:col>
      <xdr:colOff>285750</xdr:colOff>
      <xdr:row>72</xdr:row>
      <xdr:rowOff>285750</xdr:rowOff>
    </xdr:to>
    <xdr:pic>
      <xdr:nvPicPr>
        <xdr:cNvPr id="28" name="Picture 12024" descr="http://jumesyn.celestialdamnation.com/guide/weapons/axe_gaia.gif"/>
        <xdr:cNvPicPr>
          <a:picLocks noChangeAspect="1" noChangeArrowheads="1"/>
        </xdr:cNvPicPr>
      </xdr:nvPicPr>
      <xdr:blipFill>
        <a:blip xmlns:r="http://schemas.openxmlformats.org/officeDocument/2006/relationships" r:embed="rId27" cstate="print"/>
        <a:srcRect/>
        <a:stretch>
          <a:fillRect/>
        </a:stretch>
      </xdr:blipFill>
      <xdr:spPr bwMode="auto">
        <a:xfrm>
          <a:off x="6791325" y="13716000"/>
          <a:ext cx="285750" cy="190500"/>
        </a:xfrm>
        <a:prstGeom prst="rect">
          <a:avLst/>
        </a:prstGeom>
        <a:noFill/>
      </xdr:spPr>
    </xdr:pic>
    <xdr:clientData/>
  </xdr:twoCellAnchor>
  <xdr:twoCellAnchor>
    <xdr:from>
      <xdr:col>8</xdr:col>
      <xdr:colOff>0</xdr:colOff>
      <xdr:row>73</xdr:row>
      <xdr:rowOff>0</xdr:rowOff>
    </xdr:from>
    <xdr:to>
      <xdr:col>8</xdr:col>
      <xdr:colOff>285750</xdr:colOff>
      <xdr:row>73</xdr:row>
      <xdr:rowOff>285750</xdr:rowOff>
    </xdr:to>
    <xdr:pic>
      <xdr:nvPicPr>
        <xdr:cNvPr id="29" name="Picture 12025" descr="http://jumesyn.celestialdamnation.com/guide/weapons/axe_evil.gif"/>
        <xdr:cNvPicPr>
          <a:picLocks noChangeAspect="1" noChangeArrowheads="1"/>
        </xdr:cNvPicPr>
      </xdr:nvPicPr>
      <xdr:blipFill>
        <a:blip xmlns:r="http://schemas.openxmlformats.org/officeDocument/2006/relationships" r:embed="rId28" cstate="print"/>
        <a:srcRect/>
        <a:stretch>
          <a:fillRect/>
        </a:stretch>
      </xdr:blipFill>
      <xdr:spPr bwMode="auto">
        <a:xfrm>
          <a:off x="6791325" y="13906500"/>
          <a:ext cx="285750" cy="190500"/>
        </a:xfrm>
        <a:prstGeom prst="rect">
          <a:avLst/>
        </a:prstGeom>
        <a:noFill/>
      </xdr:spPr>
    </xdr:pic>
    <xdr:clientData/>
  </xdr:twoCellAnchor>
  <xdr:twoCellAnchor>
    <xdr:from>
      <xdr:col>8</xdr:col>
      <xdr:colOff>0</xdr:colOff>
      <xdr:row>75</xdr:row>
      <xdr:rowOff>0</xdr:rowOff>
    </xdr:from>
    <xdr:to>
      <xdr:col>8</xdr:col>
      <xdr:colOff>285750</xdr:colOff>
      <xdr:row>75</xdr:row>
      <xdr:rowOff>285750</xdr:rowOff>
    </xdr:to>
    <xdr:pic>
      <xdr:nvPicPr>
        <xdr:cNvPr id="30" name="Picture 12026" descr="http://jumesyn.celestialdamnation.com/guide/weapons/axe_apollon.gif"/>
        <xdr:cNvPicPr>
          <a:picLocks noChangeAspect="1" noChangeArrowheads="1"/>
        </xdr:cNvPicPr>
      </xdr:nvPicPr>
      <xdr:blipFill>
        <a:blip xmlns:r="http://schemas.openxmlformats.org/officeDocument/2006/relationships" r:embed="rId29" cstate="print"/>
        <a:srcRect/>
        <a:stretch>
          <a:fillRect/>
        </a:stretch>
      </xdr:blipFill>
      <xdr:spPr bwMode="auto">
        <a:xfrm>
          <a:off x="6791325" y="14287500"/>
          <a:ext cx="285750" cy="190500"/>
        </a:xfrm>
        <a:prstGeom prst="rect">
          <a:avLst/>
        </a:prstGeom>
        <a:noFill/>
      </xdr:spPr>
    </xdr:pic>
    <xdr:clientData/>
  </xdr:twoCellAnchor>
  <xdr:twoCellAnchor>
    <xdr:from>
      <xdr:col>8</xdr:col>
      <xdr:colOff>0</xdr:colOff>
      <xdr:row>83</xdr:row>
      <xdr:rowOff>0</xdr:rowOff>
    </xdr:from>
    <xdr:to>
      <xdr:col>8</xdr:col>
      <xdr:colOff>285750</xdr:colOff>
      <xdr:row>84</xdr:row>
      <xdr:rowOff>85725</xdr:rowOff>
    </xdr:to>
    <xdr:pic>
      <xdr:nvPicPr>
        <xdr:cNvPr id="31" name="Picture 12032" descr="http://jumesyn.celestialdamnation.com/guide/weapons/blade_iron.gif"/>
        <xdr:cNvPicPr>
          <a:picLocks noChangeAspect="1" noChangeArrowheads="1"/>
        </xdr:cNvPicPr>
      </xdr:nvPicPr>
      <xdr:blipFill>
        <a:blip xmlns:r="http://schemas.openxmlformats.org/officeDocument/2006/relationships" r:embed="rId30" cstate="print"/>
        <a:srcRect/>
        <a:stretch>
          <a:fillRect/>
        </a:stretch>
      </xdr:blipFill>
      <xdr:spPr bwMode="auto">
        <a:xfrm>
          <a:off x="6791325" y="15811500"/>
          <a:ext cx="285750" cy="276225"/>
        </a:xfrm>
        <a:prstGeom prst="rect">
          <a:avLst/>
        </a:prstGeom>
        <a:noFill/>
      </xdr:spPr>
    </xdr:pic>
    <xdr:clientData/>
  </xdr:twoCellAnchor>
  <xdr:twoCellAnchor>
    <xdr:from>
      <xdr:col>8</xdr:col>
      <xdr:colOff>0</xdr:colOff>
      <xdr:row>84</xdr:row>
      <xdr:rowOff>0</xdr:rowOff>
    </xdr:from>
    <xdr:to>
      <xdr:col>8</xdr:col>
      <xdr:colOff>285750</xdr:colOff>
      <xdr:row>85</xdr:row>
      <xdr:rowOff>19050</xdr:rowOff>
    </xdr:to>
    <xdr:pic>
      <xdr:nvPicPr>
        <xdr:cNvPr id="32" name="Picture 12033" descr="http://jumesyn.celestialdamnation.com/guide/weapons/blade_battle.gif"/>
        <xdr:cNvPicPr>
          <a:picLocks noChangeAspect="1" noChangeArrowheads="1"/>
        </xdr:cNvPicPr>
      </xdr:nvPicPr>
      <xdr:blipFill>
        <a:blip xmlns:r="http://schemas.openxmlformats.org/officeDocument/2006/relationships" r:embed="rId31" cstate="print"/>
        <a:srcRect/>
        <a:stretch>
          <a:fillRect/>
        </a:stretch>
      </xdr:blipFill>
      <xdr:spPr bwMode="auto">
        <a:xfrm>
          <a:off x="6791325" y="16002000"/>
          <a:ext cx="285750" cy="209550"/>
        </a:xfrm>
        <a:prstGeom prst="rect">
          <a:avLst/>
        </a:prstGeom>
        <a:noFill/>
      </xdr:spPr>
    </xdr:pic>
    <xdr:clientData/>
  </xdr:twoCellAnchor>
  <xdr:twoCellAnchor>
    <xdr:from>
      <xdr:col>8</xdr:col>
      <xdr:colOff>0</xdr:colOff>
      <xdr:row>85</xdr:row>
      <xdr:rowOff>0</xdr:rowOff>
    </xdr:from>
    <xdr:to>
      <xdr:col>8</xdr:col>
      <xdr:colOff>285750</xdr:colOff>
      <xdr:row>86</xdr:row>
      <xdr:rowOff>19050</xdr:rowOff>
    </xdr:to>
    <xdr:pic>
      <xdr:nvPicPr>
        <xdr:cNvPr id="33" name="Picture 12034" descr="http://jumesyn.celestialdamnation.com/guide/weapons/blade_chrome.gif"/>
        <xdr:cNvPicPr>
          <a:picLocks noChangeAspect="1" noChangeArrowheads="1"/>
        </xdr:cNvPicPr>
      </xdr:nvPicPr>
      <xdr:blipFill>
        <a:blip xmlns:r="http://schemas.openxmlformats.org/officeDocument/2006/relationships" r:embed="rId32" cstate="print"/>
        <a:srcRect/>
        <a:stretch>
          <a:fillRect/>
        </a:stretch>
      </xdr:blipFill>
      <xdr:spPr bwMode="auto">
        <a:xfrm>
          <a:off x="6791325" y="16192500"/>
          <a:ext cx="285750" cy="209550"/>
        </a:xfrm>
        <a:prstGeom prst="rect">
          <a:avLst/>
        </a:prstGeom>
        <a:noFill/>
      </xdr:spPr>
    </xdr:pic>
    <xdr:clientData/>
  </xdr:twoCellAnchor>
  <xdr:twoCellAnchor>
    <xdr:from>
      <xdr:col>8</xdr:col>
      <xdr:colOff>0</xdr:colOff>
      <xdr:row>87</xdr:row>
      <xdr:rowOff>0</xdr:rowOff>
    </xdr:from>
    <xdr:to>
      <xdr:col>8</xdr:col>
      <xdr:colOff>285750</xdr:colOff>
      <xdr:row>88</xdr:row>
      <xdr:rowOff>19050</xdr:rowOff>
    </xdr:to>
    <xdr:pic>
      <xdr:nvPicPr>
        <xdr:cNvPr id="34" name="Picture 12035" descr="http://jumesyn.celestialdamnation.com/guide/weapons/blade_luster.gif"/>
        <xdr:cNvPicPr>
          <a:picLocks noChangeAspect="1" noChangeArrowheads="1"/>
        </xdr:cNvPicPr>
      </xdr:nvPicPr>
      <xdr:blipFill>
        <a:blip xmlns:r="http://schemas.openxmlformats.org/officeDocument/2006/relationships" r:embed="rId33" cstate="print"/>
        <a:srcRect/>
        <a:stretch>
          <a:fillRect/>
        </a:stretch>
      </xdr:blipFill>
      <xdr:spPr bwMode="auto">
        <a:xfrm>
          <a:off x="6791325" y="16573500"/>
          <a:ext cx="285750" cy="209550"/>
        </a:xfrm>
        <a:prstGeom prst="rect">
          <a:avLst/>
        </a:prstGeom>
        <a:noFill/>
      </xdr:spPr>
    </xdr:pic>
    <xdr:clientData/>
  </xdr:twoCellAnchor>
  <xdr:twoCellAnchor>
    <xdr:from>
      <xdr:col>8</xdr:col>
      <xdr:colOff>0</xdr:colOff>
      <xdr:row>88</xdr:row>
      <xdr:rowOff>0</xdr:rowOff>
    </xdr:from>
    <xdr:to>
      <xdr:col>8</xdr:col>
      <xdr:colOff>285750</xdr:colOff>
      <xdr:row>89</xdr:row>
      <xdr:rowOff>19050</xdr:rowOff>
    </xdr:to>
    <xdr:pic>
      <xdr:nvPicPr>
        <xdr:cNvPr id="35" name="Picture 12036" descr="http://jumesyn.celestialdamnation.com/guide/weapons/blade_rune.gif"/>
        <xdr:cNvPicPr>
          <a:picLocks noChangeAspect="1" noChangeArrowheads="1"/>
        </xdr:cNvPicPr>
      </xdr:nvPicPr>
      <xdr:blipFill>
        <a:blip xmlns:r="http://schemas.openxmlformats.org/officeDocument/2006/relationships" r:embed="rId34" cstate="print"/>
        <a:srcRect/>
        <a:stretch>
          <a:fillRect/>
        </a:stretch>
      </xdr:blipFill>
      <xdr:spPr bwMode="auto">
        <a:xfrm>
          <a:off x="6791325" y="16764000"/>
          <a:ext cx="285750" cy="209550"/>
        </a:xfrm>
        <a:prstGeom prst="rect">
          <a:avLst/>
        </a:prstGeom>
        <a:noFill/>
      </xdr:spPr>
    </xdr:pic>
    <xdr:clientData/>
  </xdr:twoCellAnchor>
  <xdr:twoCellAnchor>
    <xdr:from>
      <xdr:col>8</xdr:col>
      <xdr:colOff>0</xdr:colOff>
      <xdr:row>89</xdr:row>
      <xdr:rowOff>0</xdr:rowOff>
    </xdr:from>
    <xdr:to>
      <xdr:col>8</xdr:col>
      <xdr:colOff>285750</xdr:colOff>
      <xdr:row>90</xdr:row>
      <xdr:rowOff>19050</xdr:rowOff>
    </xdr:to>
    <xdr:pic>
      <xdr:nvPicPr>
        <xdr:cNvPr id="36" name="Picture 12037" descr="http://jumesyn.celestialdamnation.com/guide/weapons/blade_photon.gif"/>
        <xdr:cNvPicPr>
          <a:picLocks noChangeAspect="1" noChangeArrowheads="1"/>
        </xdr:cNvPicPr>
      </xdr:nvPicPr>
      <xdr:blipFill>
        <a:blip xmlns:r="http://schemas.openxmlformats.org/officeDocument/2006/relationships" r:embed="rId35" cstate="print"/>
        <a:srcRect/>
        <a:stretch>
          <a:fillRect/>
        </a:stretch>
      </xdr:blipFill>
      <xdr:spPr bwMode="auto">
        <a:xfrm>
          <a:off x="6791325" y="16954500"/>
          <a:ext cx="285750" cy="209550"/>
        </a:xfrm>
        <a:prstGeom prst="rect">
          <a:avLst/>
        </a:prstGeom>
        <a:noFill/>
      </xdr:spPr>
    </xdr:pic>
    <xdr:clientData/>
  </xdr:twoCellAnchor>
  <xdr:twoCellAnchor>
    <xdr:from>
      <xdr:col>8</xdr:col>
      <xdr:colOff>0</xdr:colOff>
      <xdr:row>90</xdr:row>
      <xdr:rowOff>0</xdr:rowOff>
    </xdr:from>
    <xdr:to>
      <xdr:col>8</xdr:col>
      <xdr:colOff>285750</xdr:colOff>
      <xdr:row>90</xdr:row>
      <xdr:rowOff>285750</xdr:rowOff>
    </xdr:to>
    <xdr:pic>
      <xdr:nvPicPr>
        <xdr:cNvPr id="37" name="Picture 12038" descr="http://jumesyn.celestialdamnation.com/guide/weapons/blade_venom.gif"/>
        <xdr:cNvPicPr>
          <a:picLocks noChangeAspect="1" noChangeArrowheads="1"/>
        </xdr:cNvPicPr>
      </xdr:nvPicPr>
      <xdr:blipFill>
        <a:blip xmlns:r="http://schemas.openxmlformats.org/officeDocument/2006/relationships" r:embed="rId36" cstate="print"/>
        <a:srcRect/>
        <a:stretch>
          <a:fillRect/>
        </a:stretch>
      </xdr:blipFill>
      <xdr:spPr bwMode="auto">
        <a:xfrm>
          <a:off x="6791325" y="17145000"/>
          <a:ext cx="285750" cy="190500"/>
        </a:xfrm>
        <a:prstGeom prst="rect">
          <a:avLst/>
        </a:prstGeom>
        <a:noFill/>
      </xdr:spPr>
    </xdr:pic>
    <xdr:clientData/>
  </xdr:twoCellAnchor>
  <xdr:twoCellAnchor>
    <xdr:from>
      <xdr:col>8</xdr:col>
      <xdr:colOff>0</xdr:colOff>
      <xdr:row>91</xdr:row>
      <xdr:rowOff>0</xdr:rowOff>
    </xdr:from>
    <xdr:to>
      <xdr:col>8</xdr:col>
      <xdr:colOff>285750</xdr:colOff>
      <xdr:row>91</xdr:row>
      <xdr:rowOff>285750</xdr:rowOff>
    </xdr:to>
    <xdr:pic>
      <xdr:nvPicPr>
        <xdr:cNvPr id="38" name="Picture 12039" descr="http://jumesyn.celestialdamnation.com/guide/weapons/blade_chaos.gif"/>
        <xdr:cNvPicPr>
          <a:picLocks noChangeAspect="1" noChangeArrowheads="1"/>
        </xdr:cNvPicPr>
      </xdr:nvPicPr>
      <xdr:blipFill>
        <a:blip xmlns:r="http://schemas.openxmlformats.org/officeDocument/2006/relationships" r:embed="rId37" cstate="print"/>
        <a:srcRect/>
        <a:stretch>
          <a:fillRect/>
        </a:stretch>
      </xdr:blipFill>
      <xdr:spPr bwMode="auto">
        <a:xfrm>
          <a:off x="6791325" y="17335500"/>
          <a:ext cx="285750" cy="190500"/>
        </a:xfrm>
        <a:prstGeom prst="rect">
          <a:avLst/>
        </a:prstGeom>
        <a:noFill/>
      </xdr:spPr>
    </xdr:pic>
    <xdr:clientData/>
  </xdr:twoCellAnchor>
  <xdr:twoCellAnchor>
    <xdr:from>
      <xdr:col>8</xdr:col>
      <xdr:colOff>0</xdr:colOff>
      <xdr:row>92</xdr:row>
      <xdr:rowOff>0</xdr:rowOff>
    </xdr:from>
    <xdr:to>
      <xdr:col>8</xdr:col>
      <xdr:colOff>285750</xdr:colOff>
      <xdr:row>92</xdr:row>
      <xdr:rowOff>285750</xdr:rowOff>
    </xdr:to>
    <xdr:pic>
      <xdr:nvPicPr>
        <xdr:cNvPr id="39" name="Picture 12040" descr="http://jumesyn.celestialdamnation.com/guide/weapons/blade_varion.gif"/>
        <xdr:cNvPicPr>
          <a:picLocks noChangeAspect="1" noChangeArrowheads="1"/>
        </xdr:cNvPicPr>
      </xdr:nvPicPr>
      <xdr:blipFill>
        <a:blip xmlns:r="http://schemas.openxmlformats.org/officeDocument/2006/relationships" r:embed="rId38" cstate="print"/>
        <a:srcRect/>
        <a:stretch>
          <a:fillRect/>
        </a:stretch>
      </xdr:blipFill>
      <xdr:spPr bwMode="auto">
        <a:xfrm>
          <a:off x="6791325" y="17526000"/>
          <a:ext cx="285750" cy="190500"/>
        </a:xfrm>
        <a:prstGeom prst="rect">
          <a:avLst/>
        </a:prstGeom>
        <a:noFill/>
      </xdr:spPr>
    </xdr:pic>
    <xdr:clientData/>
  </xdr:twoCellAnchor>
  <xdr:twoCellAnchor>
    <xdr:from>
      <xdr:col>8</xdr:col>
      <xdr:colOff>0</xdr:colOff>
      <xdr:row>93</xdr:row>
      <xdr:rowOff>0</xdr:rowOff>
    </xdr:from>
    <xdr:to>
      <xdr:col>8</xdr:col>
      <xdr:colOff>285750</xdr:colOff>
      <xdr:row>93</xdr:row>
      <xdr:rowOff>285750</xdr:rowOff>
    </xdr:to>
    <xdr:pic>
      <xdr:nvPicPr>
        <xdr:cNvPr id="40" name="Picture 12041" descr="http://jumesyn.celestialdamnation.com/guide/weapons/blade_force.gif"/>
        <xdr:cNvPicPr>
          <a:picLocks noChangeAspect="1" noChangeArrowheads="1"/>
        </xdr:cNvPicPr>
      </xdr:nvPicPr>
      <xdr:blipFill>
        <a:blip xmlns:r="http://schemas.openxmlformats.org/officeDocument/2006/relationships" r:embed="rId39" cstate="print"/>
        <a:srcRect/>
        <a:stretch>
          <a:fillRect/>
        </a:stretch>
      </xdr:blipFill>
      <xdr:spPr bwMode="auto">
        <a:xfrm>
          <a:off x="6791325" y="17716500"/>
          <a:ext cx="285750" cy="190500"/>
        </a:xfrm>
        <a:prstGeom prst="rect">
          <a:avLst/>
        </a:prstGeom>
        <a:noFill/>
      </xdr:spPr>
    </xdr:pic>
    <xdr:clientData/>
  </xdr:twoCellAnchor>
  <xdr:twoCellAnchor>
    <xdr:from>
      <xdr:col>8</xdr:col>
      <xdr:colOff>0</xdr:colOff>
      <xdr:row>98</xdr:row>
      <xdr:rowOff>0</xdr:rowOff>
    </xdr:from>
    <xdr:to>
      <xdr:col>8</xdr:col>
      <xdr:colOff>285750</xdr:colOff>
      <xdr:row>99</xdr:row>
      <xdr:rowOff>95250</xdr:rowOff>
    </xdr:to>
    <xdr:pic>
      <xdr:nvPicPr>
        <xdr:cNvPr id="41" name="Picture 12042" descr="http://jumesyn.celestialdamnation.com/guide/weapons/claw_iron.gif"/>
        <xdr:cNvPicPr>
          <a:picLocks noChangeAspect="1" noChangeArrowheads="1"/>
        </xdr:cNvPicPr>
      </xdr:nvPicPr>
      <xdr:blipFill>
        <a:blip xmlns:r="http://schemas.openxmlformats.org/officeDocument/2006/relationships" r:embed="rId40" cstate="print"/>
        <a:srcRect/>
        <a:stretch>
          <a:fillRect/>
        </a:stretch>
      </xdr:blipFill>
      <xdr:spPr bwMode="auto">
        <a:xfrm>
          <a:off x="6791325" y="18669000"/>
          <a:ext cx="285750" cy="285750"/>
        </a:xfrm>
        <a:prstGeom prst="rect">
          <a:avLst/>
        </a:prstGeom>
        <a:noFill/>
      </xdr:spPr>
    </xdr:pic>
    <xdr:clientData/>
  </xdr:twoCellAnchor>
  <xdr:twoCellAnchor>
    <xdr:from>
      <xdr:col>8</xdr:col>
      <xdr:colOff>0</xdr:colOff>
      <xdr:row>100</xdr:row>
      <xdr:rowOff>0</xdr:rowOff>
    </xdr:from>
    <xdr:to>
      <xdr:col>8</xdr:col>
      <xdr:colOff>285750</xdr:colOff>
      <xdr:row>101</xdr:row>
      <xdr:rowOff>19050</xdr:rowOff>
    </xdr:to>
    <xdr:pic>
      <xdr:nvPicPr>
        <xdr:cNvPr id="42" name="Picture 12043" descr="http://jumesyn.celestialdamnation.com/guide/weapons/claw_power.gif"/>
        <xdr:cNvPicPr>
          <a:picLocks noChangeAspect="1" noChangeArrowheads="1"/>
        </xdr:cNvPicPr>
      </xdr:nvPicPr>
      <xdr:blipFill>
        <a:blip xmlns:r="http://schemas.openxmlformats.org/officeDocument/2006/relationships" r:embed="rId41" cstate="print"/>
        <a:srcRect/>
        <a:stretch>
          <a:fillRect/>
        </a:stretch>
      </xdr:blipFill>
      <xdr:spPr bwMode="auto">
        <a:xfrm>
          <a:off x="6791325" y="19050000"/>
          <a:ext cx="285750" cy="209550"/>
        </a:xfrm>
        <a:prstGeom prst="rect">
          <a:avLst/>
        </a:prstGeom>
        <a:noFill/>
      </xdr:spPr>
    </xdr:pic>
    <xdr:clientData/>
  </xdr:twoCellAnchor>
  <xdr:twoCellAnchor>
    <xdr:from>
      <xdr:col>8</xdr:col>
      <xdr:colOff>0</xdr:colOff>
      <xdr:row>102</xdr:row>
      <xdr:rowOff>0</xdr:rowOff>
    </xdr:from>
    <xdr:to>
      <xdr:col>8</xdr:col>
      <xdr:colOff>285750</xdr:colOff>
      <xdr:row>103</xdr:row>
      <xdr:rowOff>19050</xdr:rowOff>
    </xdr:to>
    <xdr:pic>
      <xdr:nvPicPr>
        <xdr:cNvPr id="43" name="Picture 12044" descr="http://jumesyn.celestialdamnation.com/guide/weapons/claw_steel.gif"/>
        <xdr:cNvPicPr>
          <a:picLocks noChangeAspect="1" noChangeArrowheads="1"/>
        </xdr:cNvPicPr>
      </xdr:nvPicPr>
      <xdr:blipFill>
        <a:blip xmlns:r="http://schemas.openxmlformats.org/officeDocument/2006/relationships" r:embed="rId42" cstate="print"/>
        <a:srcRect/>
        <a:stretch>
          <a:fillRect/>
        </a:stretch>
      </xdr:blipFill>
      <xdr:spPr bwMode="auto">
        <a:xfrm>
          <a:off x="6791325" y="19431000"/>
          <a:ext cx="285750" cy="209550"/>
        </a:xfrm>
        <a:prstGeom prst="rect">
          <a:avLst/>
        </a:prstGeom>
        <a:noFill/>
      </xdr:spPr>
    </xdr:pic>
    <xdr:clientData/>
  </xdr:twoCellAnchor>
  <xdr:twoCellAnchor>
    <xdr:from>
      <xdr:col>8</xdr:col>
      <xdr:colOff>0</xdr:colOff>
      <xdr:row>103</xdr:row>
      <xdr:rowOff>0</xdr:rowOff>
    </xdr:from>
    <xdr:to>
      <xdr:col>8</xdr:col>
      <xdr:colOff>285750</xdr:colOff>
      <xdr:row>104</xdr:row>
      <xdr:rowOff>19050</xdr:rowOff>
    </xdr:to>
    <xdr:pic>
      <xdr:nvPicPr>
        <xdr:cNvPr id="44" name="Picture 12045" descr="http://jumesyn.celestialdamnation.com/guide/weapons/claw_battle.gif"/>
        <xdr:cNvPicPr>
          <a:picLocks noChangeAspect="1" noChangeArrowheads="1"/>
        </xdr:cNvPicPr>
      </xdr:nvPicPr>
      <xdr:blipFill>
        <a:blip xmlns:r="http://schemas.openxmlformats.org/officeDocument/2006/relationships" r:embed="rId43" cstate="print"/>
        <a:srcRect/>
        <a:stretch>
          <a:fillRect/>
        </a:stretch>
      </xdr:blipFill>
      <xdr:spPr bwMode="auto">
        <a:xfrm>
          <a:off x="6791325" y="19621500"/>
          <a:ext cx="285750" cy="209550"/>
        </a:xfrm>
        <a:prstGeom prst="rect">
          <a:avLst/>
        </a:prstGeom>
        <a:noFill/>
      </xdr:spPr>
    </xdr:pic>
    <xdr:clientData/>
  </xdr:twoCellAnchor>
  <xdr:twoCellAnchor>
    <xdr:from>
      <xdr:col>8</xdr:col>
      <xdr:colOff>0</xdr:colOff>
      <xdr:row>104</xdr:row>
      <xdr:rowOff>0</xdr:rowOff>
    </xdr:from>
    <xdr:to>
      <xdr:col>8</xdr:col>
      <xdr:colOff>285750</xdr:colOff>
      <xdr:row>105</xdr:row>
      <xdr:rowOff>19050</xdr:rowOff>
    </xdr:to>
    <xdr:pic>
      <xdr:nvPicPr>
        <xdr:cNvPr id="45" name="Picture 12046" descr="http://jumesyn.celestialdamnation.com/guide/weapons/claw_mithril.gif"/>
        <xdr:cNvPicPr>
          <a:picLocks noChangeAspect="1" noChangeArrowheads="1"/>
        </xdr:cNvPicPr>
      </xdr:nvPicPr>
      <xdr:blipFill>
        <a:blip xmlns:r="http://schemas.openxmlformats.org/officeDocument/2006/relationships" r:embed="rId44" cstate="print"/>
        <a:srcRect/>
        <a:stretch>
          <a:fillRect/>
        </a:stretch>
      </xdr:blipFill>
      <xdr:spPr bwMode="auto">
        <a:xfrm>
          <a:off x="6791325" y="19812000"/>
          <a:ext cx="285750" cy="209550"/>
        </a:xfrm>
        <a:prstGeom prst="rect">
          <a:avLst/>
        </a:prstGeom>
        <a:noFill/>
      </xdr:spPr>
    </xdr:pic>
    <xdr:clientData/>
  </xdr:twoCellAnchor>
  <xdr:twoCellAnchor>
    <xdr:from>
      <xdr:col>8</xdr:col>
      <xdr:colOff>0</xdr:colOff>
      <xdr:row>105</xdr:row>
      <xdr:rowOff>0</xdr:rowOff>
    </xdr:from>
    <xdr:to>
      <xdr:col>8</xdr:col>
      <xdr:colOff>285750</xdr:colOff>
      <xdr:row>105</xdr:row>
      <xdr:rowOff>285750</xdr:rowOff>
    </xdr:to>
    <xdr:pic>
      <xdr:nvPicPr>
        <xdr:cNvPr id="46" name="Picture 12047" descr="http://jumesyn.celestialdamnation.com/guide/weapons/claw_tiger.gif"/>
        <xdr:cNvPicPr>
          <a:picLocks noChangeAspect="1" noChangeArrowheads="1"/>
        </xdr:cNvPicPr>
      </xdr:nvPicPr>
      <xdr:blipFill>
        <a:blip xmlns:r="http://schemas.openxmlformats.org/officeDocument/2006/relationships" r:embed="rId45" cstate="print"/>
        <a:srcRect/>
        <a:stretch>
          <a:fillRect/>
        </a:stretch>
      </xdr:blipFill>
      <xdr:spPr bwMode="auto">
        <a:xfrm>
          <a:off x="6791325" y="20002500"/>
          <a:ext cx="285750" cy="190500"/>
        </a:xfrm>
        <a:prstGeom prst="rect">
          <a:avLst/>
        </a:prstGeom>
        <a:noFill/>
      </xdr:spPr>
    </xdr:pic>
    <xdr:clientData/>
  </xdr:twoCellAnchor>
  <xdr:twoCellAnchor>
    <xdr:from>
      <xdr:col>8</xdr:col>
      <xdr:colOff>0</xdr:colOff>
      <xdr:row>106</xdr:row>
      <xdr:rowOff>0</xdr:rowOff>
    </xdr:from>
    <xdr:to>
      <xdr:col>8</xdr:col>
      <xdr:colOff>285750</xdr:colOff>
      <xdr:row>106</xdr:row>
      <xdr:rowOff>285750</xdr:rowOff>
    </xdr:to>
    <xdr:pic>
      <xdr:nvPicPr>
        <xdr:cNvPr id="47" name="Picture 12048" descr="http://jumesyn.celestialdamnation.com/guide/weapons/claw_berserk.gif"/>
        <xdr:cNvPicPr>
          <a:picLocks noChangeAspect="1" noChangeArrowheads="1"/>
        </xdr:cNvPicPr>
      </xdr:nvPicPr>
      <xdr:blipFill>
        <a:blip xmlns:r="http://schemas.openxmlformats.org/officeDocument/2006/relationships" r:embed="rId46" cstate="print"/>
        <a:srcRect/>
        <a:stretch>
          <a:fillRect/>
        </a:stretch>
      </xdr:blipFill>
      <xdr:spPr bwMode="auto">
        <a:xfrm>
          <a:off x="6791325" y="20193000"/>
          <a:ext cx="285750" cy="190500"/>
        </a:xfrm>
        <a:prstGeom prst="rect">
          <a:avLst/>
        </a:prstGeom>
        <a:noFill/>
      </xdr:spPr>
    </xdr:pic>
    <xdr:clientData/>
  </xdr:twoCellAnchor>
  <xdr:twoCellAnchor>
    <xdr:from>
      <xdr:col>8</xdr:col>
      <xdr:colOff>0</xdr:colOff>
      <xdr:row>107</xdr:row>
      <xdr:rowOff>0</xdr:rowOff>
    </xdr:from>
    <xdr:to>
      <xdr:col>8</xdr:col>
      <xdr:colOff>285750</xdr:colOff>
      <xdr:row>108</xdr:row>
      <xdr:rowOff>19050</xdr:rowOff>
    </xdr:to>
    <xdr:pic>
      <xdr:nvPicPr>
        <xdr:cNvPr id="48" name="Picture 12049" descr="http://jumesyn.celestialdamnation.com/guide/weapons/claw_jigitaris.gif"/>
        <xdr:cNvPicPr>
          <a:picLocks noChangeAspect="1" noChangeArrowheads="1"/>
        </xdr:cNvPicPr>
      </xdr:nvPicPr>
      <xdr:blipFill>
        <a:blip xmlns:r="http://schemas.openxmlformats.org/officeDocument/2006/relationships" r:embed="rId47" cstate="print"/>
        <a:srcRect/>
        <a:stretch>
          <a:fillRect/>
        </a:stretch>
      </xdr:blipFill>
      <xdr:spPr bwMode="auto">
        <a:xfrm>
          <a:off x="6791325" y="20383500"/>
          <a:ext cx="285750" cy="209550"/>
        </a:xfrm>
        <a:prstGeom prst="rect">
          <a:avLst/>
        </a:prstGeom>
        <a:noFill/>
      </xdr:spPr>
    </xdr:pic>
    <xdr:clientData/>
  </xdr:twoCellAnchor>
  <xdr:twoCellAnchor>
    <xdr:from>
      <xdr:col>8</xdr:col>
      <xdr:colOff>0</xdr:colOff>
      <xdr:row>109</xdr:row>
      <xdr:rowOff>0</xdr:rowOff>
    </xdr:from>
    <xdr:to>
      <xdr:col>8</xdr:col>
      <xdr:colOff>285750</xdr:colOff>
      <xdr:row>109</xdr:row>
      <xdr:rowOff>285750</xdr:rowOff>
    </xdr:to>
    <xdr:pic>
      <xdr:nvPicPr>
        <xdr:cNvPr id="49" name="Picture 12050" descr="http://jumesyn.celestialdamnation.com/guide/weapons/claw_gehenna.gif"/>
        <xdr:cNvPicPr>
          <a:picLocks noChangeAspect="1" noChangeArrowheads="1"/>
        </xdr:cNvPicPr>
      </xdr:nvPicPr>
      <xdr:blipFill>
        <a:blip xmlns:r="http://schemas.openxmlformats.org/officeDocument/2006/relationships" r:embed="rId48" cstate="print"/>
        <a:srcRect/>
        <a:stretch>
          <a:fillRect/>
        </a:stretch>
      </xdr:blipFill>
      <xdr:spPr bwMode="auto">
        <a:xfrm>
          <a:off x="6791325" y="20764500"/>
          <a:ext cx="285750" cy="190500"/>
        </a:xfrm>
        <a:prstGeom prst="rect">
          <a:avLst/>
        </a:prstGeom>
        <a:noFill/>
      </xdr:spPr>
    </xdr:pic>
    <xdr:clientData/>
  </xdr:twoCellAnchor>
  <xdr:twoCellAnchor>
    <xdr:from>
      <xdr:col>8</xdr:col>
      <xdr:colOff>0</xdr:colOff>
      <xdr:row>111</xdr:row>
      <xdr:rowOff>0</xdr:rowOff>
    </xdr:from>
    <xdr:to>
      <xdr:col>8</xdr:col>
      <xdr:colOff>285750</xdr:colOff>
      <xdr:row>112</xdr:row>
      <xdr:rowOff>19050</xdr:rowOff>
    </xdr:to>
    <xdr:pic>
      <xdr:nvPicPr>
        <xdr:cNvPr id="50" name="Picture 12051" descr="http://jumesyn.celestialdamnation.com/guide/weapons/claw_dragonman.gif"/>
        <xdr:cNvPicPr>
          <a:picLocks noChangeAspect="1" noChangeArrowheads="1"/>
        </xdr:cNvPicPr>
      </xdr:nvPicPr>
      <xdr:blipFill>
        <a:blip xmlns:r="http://schemas.openxmlformats.org/officeDocument/2006/relationships" r:embed="rId49" cstate="print"/>
        <a:srcRect/>
        <a:stretch>
          <a:fillRect/>
        </a:stretch>
      </xdr:blipFill>
      <xdr:spPr bwMode="auto">
        <a:xfrm>
          <a:off x="6791325" y="21145500"/>
          <a:ext cx="285750" cy="209550"/>
        </a:xfrm>
        <a:prstGeom prst="rect">
          <a:avLst/>
        </a:prstGeom>
        <a:noFill/>
      </xdr:spPr>
    </xdr:pic>
    <xdr:clientData/>
  </xdr:twoCellAnchor>
  <xdr:twoCellAnchor>
    <xdr:from>
      <xdr:col>8</xdr:col>
      <xdr:colOff>0</xdr:colOff>
      <xdr:row>119</xdr:row>
      <xdr:rowOff>0</xdr:rowOff>
    </xdr:from>
    <xdr:to>
      <xdr:col>8</xdr:col>
      <xdr:colOff>285750</xdr:colOff>
      <xdr:row>120</xdr:row>
      <xdr:rowOff>19050</xdr:rowOff>
    </xdr:to>
    <xdr:pic>
      <xdr:nvPicPr>
        <xdr:cNvPr id="51" name="Picture 12052" descr="http://jumesyn.celestialdamnation.com/guide/weapons/glove_razor.gif"/>
        <xdr:cNvPicPr>
          <a:picLocks noChangeAspect="1" noChangeArrowheads="1"/>
        </xdr:cNvPicPr>
      </xdr:nvPicPr>
      <xdr:blipFill>
        <a:blip xmlns:r="http://schemas.openxmlformats.org/officeDocument/2006/relationships" r:embed="rId50" cstate="print"/>
        <a:srcRect/>
        <a:stretch>
          <a:fillRect/>
        </a:stretch>
      </xdr:blipFill>
      <xdr:spPr bwMode="auto">
        <a:xfrm>
          <a:off x="6791325" y="22669500"/>
          <a:ext cx="285750" cy="209550"/>
        </a:xfrm>
        <a:prstGeom prst="rect">
          <a:avLst/>
        </a:prstGeom>
        <a:noFill/>
      </xdr:spPr>
    </xdr:pic>
    <xdr:clientData/>
  </xdr:twoCellAnchor>
  <xdr:twoCellAnchor>
    <xdr:from>
      <xdr:col>8</xdr:col>
      <xdr:colOff>0</xdr:colOff>
      <xdr:row>121</xdr:row>
      <xdr:rowOff>0</xdr:rowOff>
    </xdr:from>
    <xdr:to>
      <xdr:col>8</xdr:col>
      <xdr:colOff>285750</xdr:colOff>
      <xdr:row>122</xdr:row>
      <xdr:rowOff>19050</xdr:rowOff>
    </xdr:to>
    <xdr:pic>
      <xdr:nvPicPr>
        <xdr:cNvPr id="52" name="Picture 12053" descr="http://jumesyn.celestialdamnation.com/guide/weapons/glove_power.gif"/>
        <xdr:cNvPicPr>
          <a:picLocks noChangeAspect="1" noChangeArrowheads="1"/>
        </xdr:cNvPicPr>
      </xdr:nvPicPr>
      <xdr:blipFill>
        <a:blip xmlns:r="http://schemas.openxmlformats.org/officeDocument/2006/relationships" r:embed="rId51" cstate="print"/>
        <a:srcRect/>
        <a:stretch>
          <a:fillRect/>
        </a:stretch>
      </xdr:blipFill>
      <xdr:spPr bwMode="auto">
        <a:xfrm>
          <a:off x="6791325" y="23050500"/>
          <a:ext cx="285750" cy="209550"/>
        </a:xfrm>
        <a:prstGeom prst="rect">
          <a:avLst/>
        </a:prstGeom>
        <a:noFill/>
      </xdr:spPr>
    </xdr:pic>
    <xdr:clientData/>
  </xdr:twoCellAnchor>
  <xdr:twoCellAnchor>
    <xdr:from>
      <xdr:col>8</xdr:col>
      <xdr:colOff>0</xdr:colOff>
      <xdr:row>123</xdr:row>
      <xdr:rowOff>0</xdr:rowOff>
    </xdr:from>
    <xdr:to>
      <xdr:col>8</xdr:col>
      <xdr:colOff>285750</xdr:colOff>
      <xdr:row>124</xdr:row>
      <xdr:rowOff>19050</xdr:rowOff>
    </xdr:to>
    <xdr:pic>
      <xdr:nvPicPr>
        <xdr:cNvPr id="53" name="Picture 12054" descr="http://jumesyn.celestialdamnation.com/guide/weapons/glove_thorn.gif"/>
        <xdr:cNvPicPr>
          <a:picLocks noChangeAspect="1" noChangeArrowheads="1"/>
        </xdr:cNvPicPr>
      </xdr:nvPicPr>
      <xdr:blipFill>
        <a:blip xmlns:r="http://schemas.openxmlformats.org/officeDocument/2006/relationships" r:embed="rId52" cstate="print"/>
        <a:srcRect/>
        <a:stretch>
          <a:fillRect/>
        </a:stretch>
      </xdr:blipFill>
      <xdr:spPr bwMode="auto">
        <a:xfrm>
          <a:off x="6791325" y="23431500"/>
          <a:ext cx="285750" cy="209550"/>
        </a:xfrm>
        <a:prstGeom prst="rect">
          <a:avLst/>
        </a:prstGeom>
        <a:noFill/>
      </xdr:spPr>
    </xdr:pic>
    <xdr:clientData/>
  </xdr:twoCellAnchor>
  <xdr:twoCellAnchor>
    <xdr:from>
      <xdr:col>8</xdr:col>
      <xdr:colOff>0</xdr:colOff>
      <xdr:row>125</xdr:row>
      <xdr:rowOff>0</xdr:rowOff>
    </xdr:from>
    <xdr:to>
      <xdr:col>8</xdr:col>
      <xdr:colOff>285750</xdr:colOff>
      <xdr:row>126</xdr:row>
      <xdr:rowOff>19050</xdr:rowOff>
    </xdr:to>
    <xdr:pic>
      <xdr:nvPicPr>
        <xdr:cNvPr id="54" name="Picture 12055" descr="http://jumesyn.celestialdamnation.com/guide/weapons/glove_spike.gif"/>
        <xdr:cNvPicPr>
          <a:picLocks noChangeAspect="1" noChangeArrowheads="1"/>
        </xdr:cNvPicPr>
      </xdr:nvPicPr>
      <xdr:blipFill>
        <a:blip xmlns:r="http://schemas.openxmlformats.org/officeDocument/2006/relationships" r:embed="rId53" cstate="print"/>
        <a:srcRect/>
        <a:stretch>
          <a:fillRect/>
        </a:stretch>
      </xdr:blipFill>
      <xdr:spPr bwMode="auto">
        <a:xfrm>
          <a:off x="6791325" y="23812500"/>
          <a:ext cx="285750" cy="209550"/>
        </a:xfrm>
        <a:prstGeom prst="rect">
          <a:avLst/>
        </a:prstGeom>
        <a:noFill/>
      </xdr:spPr>
    </xdr:pic>
    <xdr:clientData/>
  </xdr:twoCellAnchor>
  <xdr:twoCellAnchor>
    <xdr:from>
      <xdr:col>8</xdr:col>
      <xdr:colOff>0</xdr:colOff>
      <xdr:row>127</xdr:row>
      <xdr:rowOff>0</xdr:rowOff>
    </xdr:from>
    <xdr:to>
      <xdr:col>8</xdr:col>
      <xdr:colOff>285750</xdr:colOff>
      <xdr:row>127</xdr:row>
      <xdr:rowOff>285750</xdr:rowOff>
    </xdr:to>
    <xdr:pic>
      <xdr:nvPicPr>
        <xdr:cNvPr id="55" name="Picture 12056" descr="http://jumesyn.celestialdamnation.com/guide/weapons/glove_muscle.gif"/>
        <xdr:cNvPicPr>
          <a:picLocks noChangeAspect="1" noChangeArrowheads="1"/>
        </xdr:cNvPicPr>
      </xdr:nvPicPr>
      <xdr:blipFill>
        <a:blip xmlns:r="http://schemas.openxmlformats.org/officeDocument/2006/relationships" r:embed="rId54" cstate="print"/>
        <a:srcRect/>
        <a:stretch>
          <a:fillRect/>
        </a:stretch>
      </xdr:blipFill>
      <xdr:spPr bwMode="auto">
        <a:xfrm>
          <a:off x="6791325" y="24193500"/>
          <a:ext cx="285750" cy="190500"/>
        </a:xfrm>
        <a:prstGeom prst="rect">
          <a:avLst/>
        </a:prstGeom>
        <a:noFill/>
      </xdr:spPr>
    </xdr:pic>
    <xdr:clientData/>
  </xdr:twoCellAnchor>
  <xdr:twoCellAnchor>
    <xdr:from>
      <xdr:col>8</xdr:col>
      <xdr:colOff>0</xdr:colOff>
      <xdr:row>130</xdr:row>
      <xdr:rowOff>0</xdr:rowOff>
    </xdr:from>
    <xdr:to>
      <xdr:col>8</xdr:col>
      <xdr:colOff>285750</xdr:colOff>
      <xdr:row>130</xdr:row>
      <xdr:rowOff>285750</xdr:rowOff>
    </xdr:to>
    <xdr:pic>
      <xdr:nvPicPr>
        <xdr:cNvPr id="56" name="Picture 12057" descr="http://jumesyn.celestialdamnation.com/guide/weapons/glove_spark.gif"/>
        <xdr:cNvPicPr>
          <a:picLocks noChangeAspect="1" noChangeArrowheads="1"/>
        </xdr:cNvPicPr>
      </xdr:nvPicPr>
      <xdr:blipFill>
        <a:blip xmlns:r="http://schemas.openxmlformats.org/officeDocument/2006/relationships" r:embed="rId55" cstate="print"/>
        <a:srcRect/>
        <a:stretch>
          <a:fillRect/>
        </a:stretch>
      </xdr:blipFill>
      <xdr:spPr bwMode="auto">
        <a:xfrm>
          <a:off x="6791325" y="24765000"/>
          <a:ext cx="285750" cy="190500"/>
        </a:xfrm>
        <a:prstGeom prst="rect">
          <a:avLst/>
        </a:prstGeom>
        <a:noFill/>
      </xdr:spPr>
    </xdr:pic>
    <xdr:clientData/>
  </xdr:twoCellAnchor>
  <xdr:twoCellAnchor>
    <xdr:from>
      <xdr:col>8</xdr:col>
      <xdr:colOff>0</xdr:colOff>
      <xdr:row>131</xdr:row>
      <xdr:rowOff>0</xdr:rowOff>
    </xdr:from>
    <xdr:to>
      <xdr:col>8</xdr:col>
      <xdr:colOff>285750</xdr:colOff>
      <xdr:row>132</xdr:row>
      <xdr:rowOff>19050</xdr:rowOff>
    </xdr:to>
    <xdr:pic>
      <xdr:nvPicPr>
        <xdr:cNvPr id="57" name="Picture 12058" descr="http://jumesyn.celestialdamnation.com/guide/weapons/glove_magna.gif"/>
        <xdr:cNvPicPr>
          <a:picLocks noChangeAspect="1" noChangeArrowheads="1"/>
        </xdr:cNvPicPr>
      </xdr:nvPicPr>
      <xdr:blipFill>
        <a:blip xmlns:r="http://schemas.openxmlformats.org/officeDocument/2006/relationships" r:embed="rId56" cstate="print"/>
        <a:srcRect/>
        <a:stretch>
          <a:fillRect/>
        </a:stretch>
      </xdr:blipFill>
      <xdr:spPr bwMode="auto">
        <a:xfrm>
          <a:off x="6791325" y="24955500"/>
          <a:ext cx="285750" cy="209550"/>
        </a:xfrm>
        <a:prstGeom prst="rect">
          <a:avLst/>
        </a:prstGeom>
        <a:noFill/>
      </xdr:spPr>
    </xdr:pic>
    <xdr:clientData/>
  </xdr:twoCellAnchor>
  <xdr:twoCellAnchor>
    <xdr:from>
      <xdr:col>8</xdr:col>
      <xdr:colOff>0</xdr:colOff>
      <xdr:row>133</xdr:row>
      <xdr:rowOff>0</xdr:rowOff>
    </xdr:from>
    <xdr:to>
      <xdr:col>8</xdr:col>
      <xdr:colOff>285750</xdr:colOff>
      <xdr:row>133</xdr:row>
      <xdr:rowOff>285750</xdr:rowOff>
    </xdr:to>
    <xdr:pic>
      <xdr:nvPicPr>
        <xdr:cNvPr id="58" name="Picture 12059" descr="http://jumesyn.celestialdamnation.com/guide/weapons/glove_jewelry.gif"/>
        <xdr:cNvPicPr>
          <a:picLocks noChangeAspect="1" noChangeArrowheads="1"/>
        </xdr:cNvPicPr>
      </xdr:nvPicPr>
      <xdr:blipFill>
        <a:blip xmlns:r="http://schemas.openxmlformats.org/officeDocument/2006/relationships" r:embed="rId57" cstate="print"/>
        <a:srcRect/>
        <a:stretch>
          <a:fillRect/>
        </a:stretch>
      </xdr:blipFill>
      <xdr:spPr bwMode="auto">
        <a:xfrm>
          <a:off x="6791325" y="25336500"/>
          <a:ext cx="285750" cy="190500"/>
        </a:xfrm>
        <a:prstGeom prst="rect">
          <a:avLst/>
        </a:prstGeom>
        <a:noFill/>
      </xdr:spPr>
    </xdr:pic>
    <xdr:clientData/>
  </xdr:twoCellAnchor>
  <xdr:twoCellAnchor>
    <xdr:from>
      <xdr:col>8</xdr:col>
      <xdr:colOff>0</xdr:colOff>
      <xdr:row>135</xdr:row>
      <xdr:rowOff>0</xdr:rowOff>
    </xdr:from>
    <xdr:to>
      <xdr:col>8</xdr:col>
      <xdr:colOff>285750</xdr:colOff>
      <xdr:row>135</xdr:row>
      <xdr:rowOff>285750</xdr:rowOff>
    </xdr:to>
    <xdr:pic>
      <xdr:nvPicPr>
        <xdr:cNvPr id="59" name="Picture 12060" descr="http://jumesyn.celestialdamnation.com/guide/weapons/glove_kokyutos.gif"/>
        <xdr:cNvPicPr>
          <a:picLocks noChangeAspect="1" noChangeArrowheads="1"/>
        </xdr:cNvPicPr>
      </xdr:nvPicPr>
      <xdr:blipFill>
        <a:blip xmlns:r="http://schemas.openxmlformats.org/officeDocument/2006/relationships" r:embed="rId58" cstate="print"/>
        <a:srcRect/>
        <a:stretch>
          <a:fillRect/>
        </a:stretch>
      </xdr:blipFill>
      <xdr:spPr bwMode="auto">
        <a:xfrm>
          <a:off x="6791325" y="25717500"/>
          <a:ext cx="285750" cy="190500"/>
        </a:xfrm>
        <a:prstGeom prst="rect">
          <a:avLst/>
        </a:prstGeom>
        <a:noFill/>
      </xdr:spPr>
    </xdr:pic>
    <xdr:clientData/>
  </xdr:twoCellAnchor>
  <xdr:twoCellAnchor>
    <xdr:from>
      <xdr:col>8</xdr:col>
      <xdr:colOff>0</xdr:colOff>
      <xdr:row>141</xdr:row>
      <xdr:rowOff>0</xdr:rowOff>
    </xdr:from>
    <xdr:to>
      <xdr:col>8</xdr:col>
      <xdr:colOff>285750</xdr:colOff>
      <xdr:row>142</xdr:row>
      <xdr:rowOff>85725</xdr:rowOff>
    </xdr:to>
    <xdr:pic>
      <xdr:nvPicPr>
        <xdr:cNvPr id="60" name="Picture 12061" descr="http://jumesyn.celestialdamnation.com/guide/weapons/halberd_halberd.gif"/>
        <xdr:cNvPicPr>
          <a:picLocks noChangeAspect="1" noChangeArrowheads="1"/>
        </xdr:cNvPicPr>
      </xdr:nvPicPr>
      <xdr:blipFill>
        <a:blip xmlns:r="http://schemas.openxmlformats.org/officeDocument/2006/relationships" r:embed="rId59" cstate="print"/>
        <a:srcRect/>
        <a:stretch>
          <a:fillRect/>
        </a:stretch>
      </xdr:blipFill>
      <xdr:spPr bwMode="auto">
        <a:xfrm>
          <a:off x="6791325" y="26860500"/>
          <a:ext cx="285750" cy="276225"/>
        </a:xfrm>
        <a:prstGeom prst="rect">
          <a:avLst/>
        </a:prstGeom>
        <a:noFill/>
      </xdr:spPr>
    </xdr:pic>
    <xdr:clientData/>
  </xdr:twoCellAnchor>
  <xdr:twoCellAnchor>
    <xdr:from>
      <xdr:col>8</xdr:col>
      <xdr:colOff>0</xdr:colOff>
      <xdr:row>142</xdr:row>
      <xdr:rowOff>0</xdr:rowOff>
    </xdr:from>
    <xdr:to>
      <xdr:col>8</xdr:col>
      <xdr:colOff>285750</xdr:colOff>
      <xdr:row>143</xdr:row>
      <xdr:rowOff>19050</xdr:rowOff>
    </xdr:to>
    <xdr:pic>
      <xdr:nvPicPr>
        <xdr:cNvPr id="61" name="Picture 12062" descr="http://jumesyn.celestialdamnation.com/guide/weapons/halberd_heavy.gif"/>
        <xdr:cNvPicPr>
          <a:picLocks noChangeAspect="1" noChangeArrowheads="1"/>
        </xdr:cNvPicPr>
      </xdr:nvPicPr>
      <xdr:blipFill>
        <a:blip xmlns:r="http://schemas.openxmlformats.org/officeDocument/2006/relationships" r:embed="rId60" cstate="print"/>
        <a:srcRect/>
        <a:stretch>
          <a:fillRect/>
        </a:stretch>
      </xdr:blipFill>
      <xdr:spPr bwMode="auto">
        <a:xfrm>
          <a:off x="6791325" y="27051000"/>
          <a:ext cx="285750" cy="209550"/>
        </a:xfrm>
        <a:prstGeom prst="rect">
          <a:avLst/>
        </a:prstGeom>
        <a:noFill/>
      </xdr:spPr>
    </xdr:pic>
    <xdr:clientData/>
  </xdr:twoCellAnchor>
  <xdr:twoCellAnchor>
    <xdr:from>
      <xdr:col>8</xdr:col>
      <xdr:colOff>0</xdr:colOff>
      <xdr:row>143</xdr:row>
      <xdr:rowOff>0</xdr:rowOff>
    </xdr:from>
    <xdr:to>
      <xdr:col>8</xdr:col>
      <xdr:colOff>285750</xdr:colOff>
      <xdr:row>144</xdr:row>
      <xdr:rowOff>19050</xdr:rowOff>
    </xdr:to>
    <xdr:pic>
      <xdr:nvPicPr>
        <xdr:cNvPr id="62" name="Picture 12063" descr="http://jumesyn.celestialdamnation.com/guide/weapons/halberd_knight.gif"/>
        <xdr:cNvPicPr>
          <a:picLocks noChangeAspect="1" noChangeArrowheads="1"/>
        </xdr:cNvPicPr>
      </xdr:nvPicPr>
      <xdr:blipFill>
        <a:blip xmlns:r="http://schemas.openxmlformats.org/officeDocument/2006/relationships" r:embed="rId61" cstate="print"/>
        <a:srcRect/>
        <a:stretch>
          <a:fillRect/>
        </a:stretch>
      </xdr:blipFill>
      <xdr:spPr bwMode="auto">
        <a:xfrm>
          <a:off x="6791325" y="27241500"/>
          <a:ext cx="285750" cy="209550"/>
        </a:xfrm>
        <a:prstGeom prst="rect">
          <a:avLst/>
        </a:prstGeom>
        <a:noFill/>
      </xdr:spPr>
    </xdr:pic>
    <xdr:clientData/>
  </xdr:twoCellAnchor>
  <xdr:twoCellAnchor>
    <xdr:from>
      <xdr:col>8</xdr:col>
      <xdr:colOff>0</xdr:colOff>
      <xdr:row>145</xdr:row>
      <xdr:rowOff>0</xdr:rowOff>
    </xdr:from>
    <xdr:to>
      <xdr:col>8</xdr:col>
      <xdr:colOff>285750</xdr:colOff>
      <xdr:row>146</xdr:row>
      <xdr:rowOff>19050</xdr:rowOff>
    </xdr:to>
    <xdr:pic>
      <xdr:nvPicPr>
        <xdr:cNvPr id="63" name="Picture 12064" descr="http://jumesyn.celestialdamnation.com/guide/weapons/halberd_brave.gif"/>
        <xdr:cNvPicPr>
          <a:picLocks noChangeAspect="1" noChangeArrowheads="1"/>
        </xdr:cNvPicPr>
      </xdr:nvPicPr>
      <xdr:blipFill>
        <a:blip xmlns:r="http://schemas.openxmlformats.org/officeDocument/2006/relationships" r:embed="rId62" cstate="print"/>
        <a:srcRect/>
        <a:stretch>
          <a:fillRect/>
        </a:stretch>
      </xdr:blipFill>
      <xdr:spPr bwMode="auto">
        <a:xfrm>
          <a:off x="6791325" y="27622500"/>
          <a:ext cx="285750" cy="209550"/>
        </a:xfrm>
        <a:prstGeom prst="rect">
          <a:avLst/>
        </a:prstGeom>
        <a:noFill/>
      </xdr:spPr>
    </xdr:pic>
    <xdr:clientData/>
  </xdr:twoCellAnchor>
  <xdr:twoCellAnchor>
    <xdr:from>
      <xdr:col>8</xdr:col>
      <xdr:colOff>0</xdr:colOff>
      <xdr:row>147</xdr:row>
      <xdr:rowOff>0</xdr:rowOff>
    </xdr:from>
    <xdr:to>
      <xdr:col>8</xdr:col>
      <xdr:colOff>285750</xdr:colOff>
      <xdr:row>148</xdr:row>
      <xdr:rowOff>19050</xdr:rowOff>
    </xdr:to>
    <xdr:pic>
      <xdr:nvPicPr>
        <xdr:cNvPr id="64" name="Picture 12065" descr="http://jumesyn.celestialdamnation.com/guide/weapons/halberd_road.gif"/>
        <xdr:cNvPicPr>
          <a:picLocks noChangeAspect="1" noChangeArrowheads="1"/>
        </xdr:cNvPicPr>
      </xdr:nvPicPr>
      <xdr:blipFill>
        <a:blip xmlns:r="http://schemas.openxmlformats.org/officeDocument/2006/relationships" r:embed="rId63" cstate="print"/>
        <a:srcRect/>
        <a:stretch>
          <a:fillRect/>
        </a:stretch>
      </xdr:blipFill>
      <xdr:spPr bwMode="auto">
        <a:xfrm>
          <a:off x="6791325" y="28003500"/>
          <a:ext cx="285750" cy="209550"/>
        </a:xfrm>
        <a:prstGeom prst="rect">
          <a:avLst/>
        </a:prstGeom>
        <a:noFill/>
      </xdr:spPr>
    </xdr:pic>
    <xdr:clientData/>
  </xdr:twoCellAnchor>
  <xdr:twoCellAnchor>
    <xdr:from>
      <xdr:col>8</xdr:col>
      <xdr:colOff>0</xdr:colOff>
      <xdr:row>149</xdr:row>
      <xdr:rowOff>0</xdr:rowOff>
    </xdr:from>
    <xdr:to>
      <xdr:col>8</xdr:col>
      <xdr:colOff>285750</xdr:colOff>
      <xdr:row>149</xdr:row>
      <xdr:rowOff>285750</xdr:rowOff>
    </xdr:to>
    <xdr:pic>
      <xdr:nvPicPr>
        <xdr:cNvPr id="65" name="Picture 12066" descr="http://jumesyn.celestialdamnation.com/guide/weapons/halberd_ark.gif"/>
        <xdr:cNvPicPr>
          <a:picLocks noChangeAspect="1" noChangeArrowheads="1"/>
        </xdr:cNvPicPr>
      </xdr:nvPicPr>
      <xdr:blipFill>
        <a:blip xmlns:r="http://schemas.openxmlformats.org/officeDocument/2006/relationships" r:embed="rId64" cstate="print"/>
        <a:srcRect/>
        <a:stretch>
          <a:fillRect/>
        </a:stretch>
      </xdr:blipFill>
      <xdr:spPr bwMode="auto">
        <a:xfrm>
          <a:off x="6791325" y="28384500"/>
          <a:ext cx="285750" cy="190500"/>
        </a:xfrm>
        <a:prstGeom prst="rect">
          <a:avLst/>
        </a:prstGeom>
        <a:noFill/>
      </xdr:spPr>
    </xdr:pic>
    <xdr:clientData/>
  </xdr:twoCellAnchor>
  <xdr:twoCellAnchor>
    <xdr:from>
      <xdr:col>8</xdr:col>
      <xdr:colOff>0</xdr:colOff>
      <xdr:row>150</xdr:row>
      <xdr:rowOff>0</xdr:rowOff>
    </xdr:from>
    <xdr:to>
      <xdr:col>8</xdr:col>
      <xdr:colOff>285750</xdr:colOff>
      <xdr:row>151</xdr:row>
      <xdr:rowOff>19050</xdr:rowOff>
    </xdr:to>
    <xdr:pic>
      <xdr:nvPicPr>
        <xdr:cNvPr id="66" name="Picture 12067" descr="http://jumesyn.celestialdamnation.com/guide/weapons/halberd_evil.gif"/>
        <xdr:cNvPicPr>
          <a:picLocks noChangeAspect="1" noChangeArrowheads="1"/>
        </xdr:cNvPicPr>
      </xdr:nvPicPr>
      <xdr:blipFill>
        <a:blip xmlns:r="http://schemas.openxmlformats.org/officeDocument/2006/relationships" r:embed="rId65" cstate="print"/>
        <a:srcRect/>
        <a:stretch>
          <a:fillRect/>
        </a:stretch>
      </xdr:blipFill>
      <xdr:spPr bwMode="auto">
        <a:xfrm>
          <a:off x="6791325" y="28575000"/>
          <a:ext cx="285750" cy="209550"/>
        </a:xfrm>
        <a:prstGeom prst="rect">
          <a:avLst/>
        </a:prstGeom>
        <a:noFill/>
      </xdr:spPr>
    </xdr:pic>
    <xdr:clientData/>
  </xdr:twoCellAnchor>
  <xdr:twoCellAnchor>
    <xdr:from>
      <xdr:col>8</xdr:col>
      <xdr:colOff>0</xdr:colOff>
      <xdr:row>152</xdr:row>
      <xdr:rowOff>0</xdr:rowOff>
    </xdr:from>
    <xdr:to>
      <xdr:col>8</xdr:col>
      <xdr:colOff>285750</xdr:colOff>
      <xdr:row>152</xdr:row>
      <xdr:rowOff>285750</xdr:rowOff>
    </xdr:to>
    <xdr:pic>
      <xdr:nvPicPr>
        <xdr:cNvPr id="67" name="Picture 12068" descr="http://jumesyn.celestialdamnation.com/guide/weapons/halberd_buster.gif"/>
        <xdr:cNvPicPr>
          <a:picLocks noChangeAspect="1" noChangeArrowheads="1"/>
        </xdr:cNvPicPr>
      </xdr:nvPicPr>
      <xdr:blipFill>
        <a:blip xmlns:r="http://schemas.openxmlformats.org/officeDocument/2006/relationships" r:embed="rId66" cstate="print"/>
        <a:srcRect/>
        <a:stretch>
          <a:fillRect/>
        </a:stretch>
      </xdr:blipFill>
      <xdr:spPr bwMode="auto">
        <a:xfrm>
          <a:off x="6791325" y="28956000"/>
          <a:ext cx="285750" cy="190500"/>
        </a:xfrm>
        <a:prstGeom prst="rect">
          <a:avLst/>
        </a:prstGeom>
        <a:noFill/>
      </xdr:spPr>
    </xdr:pic>
    <xdr:clientData/>
  </xdr:twoCellAnchor>
  <xdr:twoCellAnchor>
    <xdr:from>
      <xdr:col>8</xdr:col>
      <xdr:colOff>0</xdr:colOff>
      <xdr:row>158</xdr:row>
      <xdr:rowOff>0</xdr:rowOff>
    </xdr:from>
    <xdr:to>
      <xdr:col>8</xdr:col>
      <xdr:colOff>285750</xdr:colOff>
      <xdr:row>159</xdr:row>
      <xdr:rowOff>19050</xdr:rowOff>
    </xdr:to>
    <xdr:pic>
      <xdr:nvPicPr>
        <xdr:cNvPr id="68" name="Picture 12147" descr="http://jumesyn.celestialdamnation.com/guide/weapons/katana_small.gif"/>
        <xdr:cNvPicPr>
          <a:picLocks noChangeAspect="1" noChangeArrowheads="1"/>
        </xdr:cNvPicPr>
      </xdr:nvPicPr>
      <xdr:blipFill>
        <a:blip xmlns:r="http://schemas.openxmlformats.org/officeDocument/2006/relationships" r:embed="rId67" cstate="print"/>
        <a:srcRect/>
        <a:stretch>
          <a:fillRect/>
        </a:stretch>
      </xdr:blipFill>
      <xdr:spPr bwMode="auto">
        <a:xfrm>
          <a:off x="6791325" y="30099000"/>
          <a:ext cx="285750" cy="209550"/>
        </a:xfrm>
        <a:prstGeom prst="rect">
          <a:avLst/>
        </a:prstGeom>
        <a:noFill/>
      </xdr:spPr>
    </xdr:pic>
    <xdr:clientData/>
  </xdr:twoCellAnchor>
  <xdr:twoCellAnchor>
    <xdr:from>
      <xdr:col>8</xdr:col>
      <xdr:colOff>0</xdr:colOff>
      <xdr:row>159</xdr:row>
      <xdr:rowOff>0</xdr:rowOff>
    </xdr:from>
    <xdr:to>
      <xdr:col>8</xdr:col>
      <xdr:colOff>285750</xdr:colOff>
      <xdr:row>160</xdr:row>
      <xdr:rowOff>19050</xdr:rowOff>
    </xdr:to>
    <xdr:pic>
      <xdr:nvPicPr>
        <xdr:cNvPr id="69" name="Picture 12148" descr="http://jumesyn.celestialdamnation.com/guide/weapons/katana_ninja.gif"/>
        <xdr:cNvPicPr>
          <a:picLocks noChangeAspect="1" noChangeArrowheads="1"/>
        </xdr:cNvPicPr>
      </xdr:nvPicPr>
      <xdr:blipFill>
        <a:blip xmlns:r="http://schemas.openxmlformats.org/officeDocument/2006/relationships" r:embed="rId68" cstate="print"/>
        <a:srcRect/>
        <a:stretch>
          <a:fillRect/>
        </a:stretch>
      </xdr:blipFill>
      <xdr:spPr bwMode="auto">
        <a:xfrm>
          <a:off x="6791325" y="30289500"/>
          <a:ext cx="285750" cy="209550"/>
        </a:xfrm>
        <a:prstGeom prst="rect">
          <a:avLst/>
        </a:prstGeom>
        <a:noFill/>
      </xdr:spPr>
    </xdr:pic>
    <xdr:clientData/>
  </xdr:twoCellAnchor>
  <xdr:twoCellAnchor>
    <xdr:from>
      <xdr:col>8</xdr:col>
      <xdr:colOff>0</xdr:colOff>
      <xdr:row>160</xdr:row>
      <xdr:rowOff>0</xdr:rowOff>
    </xdr:from>
    <xdr:to>
      <xdr:col>8</xdr:col>
      <xdr:colOff>285750</xdr:colOff>
      <xdr:row>161</xdr:row>
      <xdr:rowOff>19050</xdr:rowOff>
    </xdr:to>
    <xdr:pic>
      <xdr:nvPicPr>
        <xdr:cNvPr id="70" name="Picture 12149" descr="http://jumesyn.celestialdamnation.com/guide/weapons/katana_fine_ninja.gif"/>
        <xdr:cNvPicPr>
          <a:picLocks noChangeAspect="1" noChangeArrowheads="1"/>
        </xdr:cNvPicPr>
      </xdr:nvPicPr>
      <xdr:blipFill>
        <a:blip xmlns:r="http://schemas.openxmlformats.org/officeDocument/2006/relationships" r:embed="rId69" cstate="print"/>
        <a:srcRect/>
        <a:stretch>
          <a:fillRect/>
        </a:stretch>
      </xdr:blipFill>
      <xdr:spPr bwMode="auto">
        <a:xfrm>
          <a:off x="6791325" y="30480000"/>
          <a:ext cx="285750" cy="209550"/>
        </a:xfrm>
        <a:prstGeom prst="rect">
          <a:avLst/>
        </a:prstGeom>
        <a:noFill/>
      </xdr:spPr>
    </xdr:pic>
    <xdr:clientData/>
  </xdr:twoCellAnchor>
  <xdr:twoCellAnchor>
    <xdr:from>
      <xdr:col>8</xdr:col>
      <xdr:colOff>0</xdr:colOff>
      <xdr:row>162</xdr:row>
      <xdr:rowOff>0</xdr:rowOff>
    </xdr:from>
    <xdr:to>
      <xdr:col>8</xdr:col>
      <xdr:colOff>285750</xdr:colOff>
      <xdr:row>162</xdr:row>
      <xdr:rowOff>285750</xdr:rowOff>
    </xdr:to>
    <xdr:pic>
      <xdr:nvPicPr>
        <xdr:cNvPr id="71" name="Picture 12150" descr="http://jumesyn.celestialdamnation.com/guide/weapons/katana_windcutter.gif"/>
        <xdr:cNvPicPr>
          <a:picLocks noChangeAspect="1" noChangeArrowheads="1"/>
        </xdr:cNvPicPr>
      </xdr:nvPicPr>
      <xdr:blipFill>
        <a:blip xmlns:r="http://schemas.openxmlformats.org/officeDocument/2006/relationships" r:embed="rId70" cstate="print"/>
        <a:srcRect/>
        <a:stretch>
          <a:fillRect/>
        </a:stretch>
      </xdr:blipFill>
      <xdr:spPr bwMode="auto">
        <a:xfrm>
          <a:off x="6791325" y="30861000"/>
          <a:ext cx="285750" cy="190500"/>
        </a:xfrm>
        <a:prstGeom prst="rect">
          <a:avLst/>
        </a:prstGeom>
        <a:noFill/>
      </xdr:spPr>
    </xdr:pic>
    <xdr:clientData/>
  </xdr:twoCellAnchor>
  <xdr:twoCellAnchor>
    <xdr:from>
      <xdr:col>8</xdr:col>
      <xdr:colOff>0</xdr:colOff>
      <xdr:row>164</xdr:row>
      <xdr:rowOff>0</xdr:rowOff>
    </xdr:from>
    <xdr:to>
      <xdr:col>8</xdr:col>
      <xdr:colOff>285750</xdr:colOff>
      <xdr:row>164</xdr:row>
      <xdr:rowOff>285750</xdr:rowOff>
    </xdr:to>
    <xdr:pic>
      <xdr:nvPicPr>
        <xdr:cNvPr id="72" name="Picture 12151" descr="http://jumesyn.celestialdamnation.com/guide/weapons/katana_bone_eater.gif"/>
        <xdr:cNvPicPr>
          <a:picLocks noChangeAspect="1" noChangeArrowheads="1"/>
        </xdr:cNvPicPr>
      </xdr:nvPicPr>
      <xdr:blipFill>
        <a:blip xmlns:r="http://schemas.openxmlformats.org/officeDocument/2006/relationships" r:embed="rId71" cstate="print"/>
        <a:srcRect/>
        <a:stretch>
          <a:fillRect/>
        </a:stretch>
      </xdr:blipFill>
      <xdr:spPr bwMode="auto">
        <a:xfrm>
          <a:off x="6791325" y="31242000"/>
          <a:ext cx="285750" cy="190500"/>
        </a:xfrm>
        <a:prstGeom prst="rect">
          <a:avLst/>
        </a:prstGeom>
        <a:noFill/>
      </xdr:spPr>
    </xdr:pic>
    <xdr:clientData/>
  </xdr:twoCellAnchor>
  <xdr:twoCellAnchor>
    <xdr:from>
      <xdr:col>8</xdr:col>
      <xdr:colOff>0</xdr:colOff>
      <xdr:row>166</xdr:row>
      <xdr:rowOff>0</xdr:rowOff>
    </xdr:from>
    <xdr:to>
      <xdr:col>8</xdr:col>
      <xdr:colOff>285750</xdr:colOff>
      <xdr:row>166</xdr:row>
      <xdr:rowOff>285750</xdr:rowOff>
    </xdr:to>
    <xdr:pic>
      <xdr:nvPicPr>
        <xdr:cNvPr id="73" name="Picture 12152" descr="http://jumesyn.celestialdamnation.com/guide/weapons/katana_rumbling_sea.gif"/>
        <xdr:cNvPicPr>
          <a:picLocks noChangeAspect="1" noChangeArrowheads="1"/>
        </xdr:cNvPicPr>
      </xdr:nvPicPr>
      <xdr:blipFill>
        <a:blip xmlns:r="http://schemas.openxmlformats.org/officeDocument/2006/relationships" r:embed="rId72" cstate="print"/>
        <a:srcRect/>
        <a:stretch>
          <a:fillRect/>
        </a:stretch>
      </xdr:blipFill>
      <xdr:spPr bwMode="auto">
        <a:xfrm>
          <a:off x="6791325" y="31623000"/>
          <a:ext cx="285750" cy="190500"/>
        </a:xfrm>
        <a:prstGeom prst="rect">
          <a:avLst/>
        </a:prstGeom>
        <a:noFill/>
      </xdr:spPr>
    </xdr:pic>
    <xdr:clientData/>
  </xdr:twoCellAnchor>
  <xdr:twoCellAnchor>
    <xdr:from>
      <xdr:col>8</xdr:col>
      <xdr:colOff>0</xdr:colOff>
      <xdr:row>168</xdr:row>
      <xdr:rowOff>0</xdr:rowOff>
    </xdr:from>
    <xdr:to>
      <xdr:col>8</xdr:col>
      <xdr:colOff>285750</xdr:colOff>
      <xdr:row>168</xdr:row>
      <xdr:rowOff>285750</xdr:rowOff>
    </xdr:to>
    <xdr:pic>
      <xdr:nvPicPr>
        <xdr:cNvPr id="74" name="Picture 12153" descr="http://jumesyn.celestialdamnation.com/guide/weapons/katana_muramasa.gif"/>
        <xdr:cNvPicPr>
          <a:picLocks noChangeAspect="1" noChangeArrowheads="1"/>
        </xdr:cNvPicPr>
      </xdr:nvPicPr>
      <xdr:blipFill>
        <a:blip xmlns:r="http://schemas.openxmlformats.org/officeDocument/2006/relationships" r:embed="rId73" cstate="print"/>
        <a:srcRect/>
        <a:stretch>
          <a:fillRect/>
        </a:stretch>
      </xdr:blipFill>
      <xdr:spPr bwMode="auto">
        <a:xfrm>
          <a:off x="6791325" y="32004000"/>
          <a:ext cx="285750" cy="190500"/>
        </a:xfrm>
        <a:prstGeom prst="rect">
          <a:avLst/>
        </a:prstGeom>
        <a:noFill/>
      </xdr:spPr>
    </xdr:pic>
    <xdr:clientData/>
  </xdr:twoCellAnchor>
  <xdr:twoCellAnchor>
    <xdr:from>
      <xdr:col>8</xdr:col>
      <xdr:colOff>0</xdr:colOff>
      <xdr:row>169</xdr:row>
      <xdr:rowOff>0</xdr:rowOff>
    </xdr:from>
    <xdr:to>
      <xdr:col>8</xdr:col>
      <xdr:colOff>285750</xdr:colOff>
      <xdr:row>170</xdr:row>
      <xdr:rowOff>19050</xdr:rowOff>
    </xdr:to>
    <xdr:pic>
      <xdr:nvPicPr>
        <xdr:cNvPr id="75" name="Picture 12154" descr="http://jumesyn.celestialdamnation.com/guide/weapons/katana_masamune.gif"/>
        <xdr:cNvPicPr>
          <a:picLocks noChangeAspect="1" noChangeArrowheads="1"/>
        </xdr:cNvPicPr>
      </xdr:nvPicPr>
      <xdr:blipFill>
        <a:blip xmlns:r="http://schemas.openxmlformats.org/officeDocument/2006/relationships" r:embed="rId74" cstate="print"/>
        <a:srcRect/>
        <a:stretch>
          <a:fillRect/>
        </a:stretch>
      </xdr:blipFill>
      <xdr:spPr bwMode="auto">
        <a:xfrm>
          <a:off x="6791325" y="32194500"/>
          <a:ext cx="285750" cy="209550"/>
        </a:xfrm>
        <a:prstGeom prst="rect">
          <a:avLst/>
        </a:prstGeom>
        <a:noFill/>
      </xdr:spPr>
    </xdr:pic>
    <xdr:clientData/>
  </xdr:twoCellAnchor>
  <xdr:twoCellAnchor>
    <xdr:from>
      <xdr:col>8</xdr:col>
      <xdr:colOff>0</xdr:colOff>
      <xdr:row>170</xdr:row>
      <xdr:rowOff>0</xdr:rowOff>
    </xdr:from>
    <xdr:to>
      <xdr:col>8</xdr:col>
      <xdr:colOff>285750</xdr:colOff>
      <xdr:row>171</xdr:row>
      <xdr:rowOff>19050</xdr:rowOff>
    </xdr:to>
    <xdr:pic>
      <xdr:nvPicPr>
        <xdr:cNvPr id="76" name="Picture 12155" descr="http://jumesyn.celestialdamnation.com/guide/weapons/katana_murasame.gif"/>
        <xdr:cNvPicPr>
          <a:picLocks noChangeAspect="1" noChangeArrowheads="1"/>
        </xdr:cNvPicPr>
      </xdr:nvPicPr>
      <xdr:blipFill>
        <a:blip xmlns:r="http://schemas.openxmlformats.org/officeDocument/2006/relationships" r:embed="rId75" cstate="print"/>
        <a:srcRect/>
        <a:stretch>
          <a:fillRect/>
        </a:stretch>
      </xdr:blipFill>
      <xdr:spPr bwMode="auto">
        <a:xfrm>
          <a:off x="6791325" y="32385000"/>
          <a:ext cx="285750" cy="209550"/>
        </a:xfrm>
        <a:prstGeom prst="rect">
          <a:avLst/>
        </a:prstGeom>
        <a:noFill/>
      </xdr:spPr>
    </xdr:pic>
    <xdr:clientData/>
  </xdr:twoCellAnchor>
  <xdr:twoCellAnchor>
    <xdr:from>
      <xdr:col>8</xdr:col>
      <xdr:colOff>0</xdr:colOff>
      <xdr:row>171</xdr:row>
      <xdr:rowOff>0</xdr:rowOff>
    </xdr:from>
    <xdr:to>
      <xdr:col>8</xdr:col>
      <xdr:colOff>285750</xdr:colOff>
      <xdr:row>171</xdr:row>
      <xdr:rowOff>285750</xdr:rowOff>
    </xdr:to>
    <xdr:pic>
      <xdr:nvPicPr>
        <xdr:cNvPr id="77" name="Picture 12156" descr="http://jumesyn.celestialdamnation.com/guide/weapons/katana_kusanagi.gif"/>
        <xdr:cNvPicPr>
          <a:picLocks noChangeAspect="1" noChangeArrowheads="1"/>
        </xdr:cNvPicPr>
      </xdr:nvPicPr>
      <xdr:blipFill>
        <a:blip xmlns:r="http://schemas.openxmlformats.org/officeDocument/2006/relationships" r:embed="rId76" cstate="print"/>
        <a:srcRect/>
        <a:stretch>
          <a:fillRect/>
        </a:stretch>
      </xdr:blipFill>
      <xdr:spPr bwMode="auto">
        <a:xfrm>
          <a:off x="6791325" y="32575500"/>
          <a:ext cx="285750" cy="190500"/>
        </a:xfrm>
        <a:prstGeom prst="rect">
          <a:avLst/>
        </a:prstGeom>
        <a:noFill/>
      </xdr:spPr>
    </xdr:pic>
    <xdr:clientData/>
  </xdr:twoCellAnchor>
  <xdr:twoCellAnchor>
    <xdr:from>
      <xdr:col>8</xdr:col>
      <xdr:colOff>0</xdr:colOff>
      <xdr:row>177</xdr:row>
      <xdr:rowOff>0</xdr:rowOff>
    </xdr:from>
    <xdr:to>
      <xdr:col>8</xdr:col>
      <xdr:colOff>285750</xdr:colOff>
      <xdr:row>178</xdr:row>
      <xdr:rowOff>19050</xdr:rowOff>
    </xdr:to>
    <xdr:pic>
      <xdr:nvPicPr>
        <xdr:cNvPr id="78" name="Picture 12157" descr="http://jumesyn.celestialdamnation.com/guide/weapons/knife_bronze.gif"/>
        <xdr:cNvPicPr>
          <a:picLocks noChangeAspect="1" noChangeArrowheads="1"/>
        </xdr:cNvPicPr>
      </xdr:nvPicPr>
      <xdr:blipFill>
        <a:blip xmlns:r="http://schemas.openxmlformats.org/officeDocument/2006/relationships" r:embed="rId77" cstate="print"/>
        <a:srcRect/>
        <a:stretch>
          <a:fillRect/>
        </a:stretch>
      </xdr:blipFill>
      <xdr:spPr bwMode="auto">
        <a:xfrm>
          <a:off x="6791325" y="33718500"/>
          <a:ext cx="285750" cy="209550"/>
        </a:xfrm>
        <a:prstGeom prst="rect">
          <a:avLst/>
        </a:prstGeom>
        <a:noFill/>
      </xdr:spPr>
    </xdr:pic>
    <xdr:clientData/>
  </xdr:twoCellAnchor>
  <xdr:twoCellAnchor>
    <xdr:from>
      <xdr:col>8</xdr:col>
      <xdr:colOff>0</xdr:colOff>
      <xdr:row>178</xdr:row>
      <xdr:rowOff>0</xdr:rowOff>
    </xdr:from>
    <xdr:to>
      <xdr:col>8</xdr:col>
      <xdr:colOff>285750</xdr:colOff>
      <xdr:row>179</xdr:row>
      <xdr:rowOff>19050</xdr:rowOff>
    </xdr:to>
    <xdr:pic>
      <xdr:nvPicPr>
        <xdr:cNvPr id="79" name="Picture 12158" descr="http://jumesyn.celestialdamnation.com/guide/weapons/knife_steel.gif"/>
        <xdr:cNvPicPr>
          <a:picLocks noChangeAspect="1" noChangeArrowheads="1"/>
        </xdr:cNvPicPr>
      </xdr:nvPicPr>
      <xdr:blipFill>
        <a:blip xmlns:r="http://schemas.openxmlformats.org/officeDocument/2006/relationships" r:embed="rId78" cstate="print"/>
        <a:srcRect/>
        <a:stretch>
          <a:fillRect/>
        </a:stretch>
      </xdr:blipFill>
      <xdr:spPr bwMode="auto">
        <a:xfrm>
          <a:off x="6791325" y="33909000"/>
          <a:ext cx="285750" cy="209550"/>
        </a:xfrm>
        <a:prstGeom prst="rect">
          <a:avLst/>
        </a:prstGeom>
        <a:noFill/>
      </xdr:spPr>
    </xdr:pic>
    <xdr:clientData/>
  </xdr:twoCellAnchor>
  <xdr:twoCellAnchor>
    <xdr:from>
      <xdr:col>8</xdr:col>
      <xdr:colOff>0</xdr:colOff>
      <xdr:row>179</xdr:row>
      <xdr:rowOff>0</xdr:rowOff>
    </xdr:from>
    <xdr:to>
      <xdr:col>8</xdr:col>
      <xdr:colOff>285750</xdr:colOff>
      <xdr:row>180</xdr:row>
      <xdr:rowOff>19050</xdr:rowOff>
    </xdr:to>
    <xdr:pic>
      <xdr:nvPicPr>
        <xdr:cNvPr id="80" name="Picture 12159" descr="http://jumesyn.celestialdamnation.com/guide/weapons/knife_hunter.gif"/>
        <xdr:cNvPicPr>
          <a:picLocks noChangeAspect="1" noChangeArrowheads="1"/>
        </xdr:cNvPicPr>
      </xdr:nvPicPr>
      <xdr:blipFill>
        <a:blip xmlns:r="http://schemas.openxmlformats.org/officeDocument/2006/relationships" r:embed="rId79" cstate="print"/>
        <a:srcRect/>
        <a:stretch>
          <a:fillRect/>
        </a:stretch>
      </xdr:blipFill>
      <xdr:spPr bwMode="auto">
        <a:xfrm>
          <a:off x="6791325" y="34099500"/>
          <a:ext cx="285750" cy="209550"/>
        </a:xfrm>
        <a:prstGeom prst="rect">
          <a:avLst/>
        </a:prstGeom>
        <a:noFill/>
      </xdr:spPr>
    </xdr:pic>
    <xdr:clientData/>
  </xdr:twoCellAnchor>
  <xdr:twoCellAnchor>
    <xdr:from>
      <xdr:col>8</xdr:col>
      <xdr:colOff>0</xdr:colOff>
      <xdr:row>180</xdr:row>
      <xdr:rowOff>0</xdr:rowOff>
    </xdr:from>
    <xdr:to>
      <xdr:col>8</xdr:col>
      <xdr:colOff>285750</xdr:colOff>
      <xdr:row>181</xdr:row>
      <xdr:rowOff>19050</xdr:rowOff>
    </xdr:to>
    <xdr:pic>
      <xdr:nvPicPr>
        <xdr:cNvPr id="81" name="Picture 12160" descr="http://jumesyn.celestialdamnation.com/guide/weapons/knife_mithril.gif"/>
        <xdr:cNvPicPr>
          <a:picLocks noChangeAspect="1" noChangeArrowheads="1"/>
        </xdr:cNvPicPr>
      </xdr:nvPicPr>
      <xdr:blipFill>
        <a:blip xmlns:r="http://schemas.openxmlformats.org/officeDocument/2006/relationships" r:embed="rId80" cstate="print"/>
        <a:srcRect/>
        <a:stretch>
          <a:fillRect/>
        </a:stretch>
      </xdr:blipFill>
      <xdr:spPr bwMode="auto">
        <a:xfrm>
          <a:off x="6791325" y="34290000"/>
          <a:ext cx="285750" cy="209550"/>
        </a:xfrm>
        <a:prstGeom prst="rect">
          <a:avLst/>
        </a:prstGeom>
        <a:noFill/>
      </xdr:spPr>
    </xdr:pic>
    <xdr:clientData/>
  </xdr:twoCellAnchor>
  <xdr:twoCellAnchor>
    <xdr:from>
      <xdr:col>8</xdr:col>
      <xdr:colOff>0</xdr:colOff>
      <xdr:row>182</xdr:row>
      <xdr:rowOff>0</xdr:rowOff>
    </xdr:from>
    <xdr:to>
      <xdr:col>8</xdr:col>
      <xdr:colOff>285750</xdr:colOff>
      <xdr:row>183</xdr:row>
      <xdr:rowOff>19050</xdr:rowOff>
    </xdr:to>
    <xdr:pic>
      <xdr:nvPicPr>
        <xdr:cNvPr id="82" name="Picture 12161" descr="http://jumesyn.celestialdamnation.com/guide/weapons/knife_butterfly.gif"/>
        <xdr:cNvPicPr>
          <a:picLocks noChangeAspect="1" noChangeArrowheads="1"/>
        </xdr:cNvPicPr>
      </xdr:nvPicPr>
      <xdr:blipFill>
        <a:blip xmlns:r="http://schemas.openxmlformats.org/officeDocument/2006/relationships" r:embed="rId81" cstate="print"/>
        <a:srcRect/>
        <a:stretch>
          <a:fillRect/>
        </a:stretch>
      </xdr:blipFill>
      <xdr:spPr bwMode="auto">
        <a:xfrm>
          <a:off x="6791325" y="34671000"/>
          <a:ext cx="285750" cy="209550"/>
        </a:xfrm>
        <a:prstGeom prst="rect">
          <a:avLst/>
        </a:prstGeom>
        <a:noFill/>
      </xdr:spPr>
    </xdr:pic>
    <xdr:clientData/>
  </xdr:twoCellAnchor>
  <xdr:twoCellAnchor>
    <xdr:from>
      <xdr:col>8</xdr:col>
      <xdr:colOff>0</xdr:colOff>
      <xdr:row>184</xdr:row>
      <xdr:rowOff>0</xdr:rowOff>
    </xdr:from>
    <xdr:to>
      <xdr:col>8</xdr:col>
      <xdr:colOff>285750</xdr:colOff>
      <xdr:row>185</xdr:row>
      <xdr:rowOff>19050</xdr:rowOff>
    </xdr:to>
    <xdr:pic>
      <xdr:nvPicPr>
        <xdr:cNvPr id="83" name="Picture 12162" descr="http://jumesyn.celestialdamnation.com/guide/weapons/knife_assassin.gif"/>
        <xdr:cNvPicPr>
          <a:picLocks noChangeAspect="1" noChangeArrowheads="1"/>
        </xdr:cNvPicPr>
      </xdr:nvPicPr>
      <xdr:blipFill>
        <a:blip xmlns:r="http://schemas.openxmlformats.org/officeDocument/2006/relationships" r:embed="rId82" cstate="print"/>
        <a:srcRect/>
        <a:stretch>
          <a:fillRect/>
        </a:stretch>
      </xdr:blipFill>
      <xdr:spPr bwMode="auto">
        <a:xfrm>
          <a:off x="6791325" y="35052000"/>
          <a:ext cx="285750" cy="209550"/>
        </a:xfrm>
        <a:prstGeom prst="rect">
          <a:avLst/>
        </a:prstGeom>
        <a:noFill/>
      </xdr:spPr>
    </xdr:pic>
    <xdr:clientData/>
  </xdr:twoCellAnchor>
  <xdr:twoCellAnchor>
    <xdr:from>
      <xdr:col>8</xdr:col>
      <xdr:colOff>0</xdr:colOff>
      <xdr:row>186</xdr:row>
      <xdr:rowOff>0</xdr:rowOff>
    </xdr:from>
    <xdr:to>
      <xdr:col>8</xdr:col>
      <xdr:colOff>285750</xdr:colOff>
      <xdr:row>186</xdr:row>
      <xdr:rowOff>285750</xdr:rowOff>
    </xdr:to>
    <xdr:pic>
      <xdr:nvPicPr>
        <xdr:cNvPr id="84" name="Picture 12163" descr="http://jumesyn.celestialdamnation.com/guide/weapons/knife_reaper.gif"/>
        <xdr:cNvPicPr>
          <a:picLocks noChangeAspect="1" noChangeArrowheads="1"/>
        </xdr:cNvPicPr>
      </xdr:nvPicPr>
      <xdr:blipFill>
        <a:blip xmlns:r="http://schemas.openxmlformats.org/officeDocument/2006/relationships" r:embed="rId83" cstate="print"/>
        <a:srcRect/>
        <a:stretch>
          <a:fillRect/>
        </a:stretch>
      </xdr:blipFill>
      <xdr:spPr bwMode="auto">
        <a:xfrm>
          <a:off x="6791325" y="35433000"/>
          <a:ext cx="285750" cy="190500"/>
        </a:xfrm>
        <a:prstGeom prst="rect">
          <a:avLst/>
        </a:prstGeom>
        <a:noFill/>
      </xdr:spPr>
    </xdr:pic>
    <xdr:clientData/>
  </xdr:twoCellAnchor>
  <xdr:twoCellAnchor>
    <xdr:from>
      <xdr:col>8</xdr:col>
      <xdr:colOff>0</xdr:colOff>
      <xdr:row>193</xdr:row>
      <xdr:rowOff>0</xdr:rowOff>
    </xdr:from>
    <xdr:to>
      <xdr:col>8</xdr:col>
      <xdr:colOff>285750</xdr:colOff>
      <xdr:row>194</xdr:row>
      <xdr:rowOff>19050</xdr:rowOff>
    </xdr:to>
    <xdr:pic>
      <xdr:nvPicPr>
        <xdr:cNvPr id="85" name="Picture 12164" descr="http://jumesyn.celestialdamnation.com/guide/weapons/knuckle_razor.gif"/>
        <xdr:cNvPicPr>
          <a:picLocks noChangeAspect="1" noChangeArrowheads="1"/>
        </xdr:cNvPicPr>
      </xdr:nvPicPr>
      <xdr:blipFill>
        <a:blip xmlns:r="http://schemas.openxmlformats.org/officeDocument/2006/relationships" r:embed="rId84" cstate="print"/>
        <a:srcRect/>
        <a:stretch>
          <a:fillRect/>
        </a:stretch>
      </xdr:blipFill>
      <xdr:spPr bwMode="auto">
        <a:xfrm>
          <a:off x="6791325" y="36766500"/>
          <a:ext cx="285750" cy="209550"/>
        </a:xfrm>
        <a:prstGeom prst="rect">
          <a:avLst/>
        </a:prstGeom>
        <a:noFill/>
      </xdr:spPr>
    </xdr:pic>
    <xdr:clientData/>
  </xdr:twoCellAnchor>
  <xdr:twoCellAnchor>
    <xdr:from>
      <xdr:col>8</xdr:col>
      <xdr:colOff>0</xdr:colOff>
      <xdr:row>195</xdr:row>
      <xdr:rowOff>0</xdr:rowOff>
    </xdr:from>
    <xdr:to>
      <xdr:col>8</xdr:col>
      <xdr:colOff>285750</xdr:colOff>
      <xdr:row>196</xdr:row>
      <xdr:rowOff>19050</xdr:rowOff>
    </xdr:to>
    <xdr:pic>
      <xdr:nvPicPr>
        <xdr:cNvPr id="86" name="Picture 12165" descr="http://jumesyn.celestialdamnation.com/guide/weapons/knuckle_brass.gif"/>
        <xdr:cNvPicPr>
          <a:picLocks noChangeAspect="1" noChangeArrowheads="1"/>
        </xdr:cNvPicPr>
      </xdr:nvPicPr>
      <xdr:blipFill>
        <a:blip xmlns:r="http://schemas.openxmlformats.org/officeDocument/2006/relationships" r:embed="rId85" cstate="print"/>
        <a:srcRect/>
        <a:stretch>
          <a:fillRect/>
        </a:stretch>
      </xdr:blipFill>
      <xdr:spPr bwMode="auto">
        <a:xfrm>
          <a:off x="6791325" y="37147500"/>
          <a:ext cx="285750" cy="209550"/>
        </a:xfrm>
        <a:prstGeom prst="rect">
          <a:avLst/>
        </a:prstGeom>
        <a:noFill/>
      </xdr:spPr>
    </xdr:pic>
    <xdr:clientData/>
  </xdr:twoCellAnchor>
  <xdr:twoCellAnchor>
    <xdr:from>
      <xdr:col>8</xdr:col>
      <xdr:colOff>0</xdr:colOff>
      <xdr:row>197</xdr:row>
      <xdr:rowOff>0</xdr:rowOff>
    </xdr:from>
    <xdr:to>
      <xdr:col>8</xdr:col>
      <xdr:colOff>285750</xdr:colOff>
      <xdr:row>198</xdr:row>
      <xdr:rowOff>19050</xdr:rowOff>
    </xdr:to>
    <xdr:pic>
      <xdr:nvPicPr>
        <xdr:cNvPr id="87" name="Picture 12166" descr="http://jumesyn.celestialdamnation.com/guide/weapons/knuckle_hard.gif"/>
        <xdr:cNvPicPr>
          <a:picLocks noChangeAspect="1" noChangeArrowheads="1"/>
        </xdr:cNvPicPr>
      </xdr:nvPicPr>
      <xdr:blipFill>
        <a:blip xmlns:r="http://schemas.openxmlformats.org/officeDocument/2006/relationships" r:embed="rId86" cstate="print"/>
        <a:srcRect/>
        <a:stretch>
          <a:fillRect/>
        </a:stretch>
      </xdr:blipFill>
      <xdr:spPr bwMode="auto">
        <a:xfrm>
          <a:off x="6791325" y="37528500"/>
          <a:ext cx="285750" cy="209550"/>
        </a:xfrm>
        <a:prstGeom prst="rect">
          <a:avLst/>
        </a:prstGeom>
        <a:noFill/>
      </xdr:spPr>
    </xdr:pic>
    <xdr:clientData/>
  </xdr:twoCellAnchor>
  <xdr:twoCellAnchor>
    <xdr:from>
      <xdr:col>8</xdr:col>
      <xdr:colOff>0</xdr:colOff>
      <xdr:row>199</xdr:row>
      <xdr:rowOff>0</xdr:rowOff>
    </xdr:from>
    <xdr:to>
      <xdr:col>8</xdr:col>
      <xdr:colOff>285750</xdr:colOff>
      <xdr:row>200</xdr:row>
      <xdr:rowOff>19050</xdr:rowOff>
    </xdr:to>
    <xdr:pic>
      <xdr:nvPicPr>
        <xdr:cNvPr id="88" name="Picture 12167" descr="http://jumesyn.celestialdamnation.com/guide/weapons/knuckle_giant.gif"/>
        <xdr:cNvPicPr>
          <a:picLocks noChangeAspect="1" noChangeArrowheads="1"/>
        </xdr:cNvPicPr>
      </xdr:nvPicPr>
      <xdr:blipFill>
        <a:blip xmlns:r="http://schemas.openxmlformats.org/officeDocument/2006/relationships" r:embed="rId87" cstate="print"/>
        <a:srcRect/>
        <a:stretch>
          <a:fillRect/>
        </a:stretch>
      </xdr:blipFill>
      <xdr:spPr bwMode="auto">
        <a:xfrm>
          <a:off x="6791325" y="37909500"/>
          <a:ext cx="285750" cy="209550"/>
        </a:xfrm>
        <a:prstGeom prst="rect">
          <a:avLst/>
        </a:prstGeom>
        <a:noFill/>
      </xdr:spPr>
    </xdr:pic>
    <xdr:clientData/>
  </xdr:twoCellAnchor>
  <xdr:twoCellAnchor>
    <xdr:from>
      <xdr:col>8</xdr:col>
      <xdr:colOff>0</xdr:colOff>
      <xdr:row>201</xdr:row>
      <xdr:rowOff>0</xdr:rowOff>
    </xdr:from>
    <xdr:to>
      <xdr:col>8</xdr:col>
      <xdr:colOff>285750</xdr:colOff>
      <xdr:row>202</xdr:row>
      <xdr:rowOff>19050</xdr:rowOff>
    </xdr:to>
    <xdr:pic>
      <xdr:nvPicPr>
        <xdr:cNvPr id="89" name="Picture 12168" descr="http://jumesyn.celestialdamnation.com/guide/weapons/knuckle_mist.gif"/>
        <xdr:cNvPicPr>
          <a:picLocks noChangeAspect="1" noChangeArrowheads="1"/>
        </xdr:cNvPicPr>
      </xdr:nvPicPr>
      <xdr:blipFill>
        <a:blip xmlns:r="http://schemas.openxmlformats.org/officeDocument/2006/relationships" r:embed="rId88" cstate="print"/>
        <a:srcRect/>
        <a:stretch>
          <a:fillRect/>
        </a:stretch>
      </xdr:blipFill>
      <xdr:spPr bwMode="auto">
        <a:xfrm>
          <a:off x="6791325" y="38290500"/>
          <a:ext cx="285750" cy="209550"/>
        </a:xfrm>
        <a:prstGeom prst="rect">
          <a:avLst/>
        </a:prstGeom>
        <a:noFill/>
      </xdr:spPr>
    </xdr:pic>
    <xdr:clientData/>
  </xdr:twoCellAnchor>
  <xdr:twoCellAnchor>
    <xdr:from>
      <xdr:col>8</xdr:col>
      <xdr:colOff>0</xdr:colOff>
      <xdr:row>203</xdr:row>
      <xdr:rowOff>0</xdr:rowOff>
    </xdr:from>
    <xdr:to>
      <xdr:col>8</xdr:col>
      <xdr:colOff>285750</xdr:colOff>
      <xdr:row>203</xdr:row>
      <xdr:rowOff>285750</xdr:rowOff>
    </xdr:to>
    <xdr:pic>
      <xdr:nvPicPr>
        <xdr:cNvPr id="90" name="Picture 12169" descr="http://jumesyn.celestialdamnation.com/guide/weapons/knuckle_wire.gif"/>
        <xdr:cNvPicPr>
          <a:picLocks noChangeAspect="1" noChangeArrowheads="1"/>
        </xdr:cNvPicPr>
      </xdr:nvPicPr>
      <xdr:blipFill>
        <a:blip xmlns:r="http://schemas.openxmlformats.org/officeDocument/2006/relationships" r:embed="rId89" cstate="print"/>
        <a:srcRect/>
        <a:stretch>
          <a:fillRect/>
        </a:stretch>
      </xdr:blipFill>
      <xdr:spPr bwMode="auto">
        <a:xfrm>
          <a:off x="6791325" y="38671500"/>
          <a:ext cx="285750" cy="190500"/>
        </a:xfrm>
        <a:prstGeom prst="rect">
          <a:avLst/>
        </a:prstGeom>
        <a:noFill/>
      </xdr:spPr>
    </xdr:pic>
    <xdr:clientData/>
  </xdr:twoCellAnchor>
  <xdr:twoCellAnchor>
    <xdr:from>
      <xdr:col>8</xdr:col>
      <xdr:colOff>0</xdr:colOff>
      <xdr:row>205</xdr:row>
      <xdr:rowOff>0</xdr:rowOff>
    </xdr:from>
    <xdr:to>
      <xdr:col>8</xdr:col>
      <xdr:colOff>285750</xdr:colOff>
      <xdr:row>205</xdr:row>
      <xdr:rowOff>285750</xdr:rowOff>
    </xdr:to>
    <xdr:pic>
      <xdr:nvPicPr>
        <xdr:cNvPr id="91" name="Picture 12170" descr="http://jumesyn.celestialdamnation.com/guide/weapons/knuckle_aura.gif"/>
        <xdr:cNvPicPr>
          <a:picLocks noChangeAspect="1" noChangeArrowheads="1"/>
        </xdr:cNvPicPr>
      </xdr:nvPicPr>
      <xdr:blipFill>
        <a:blip xmlns:r="http://schemas.openxmlformats.org/officeDocument/2006/relationships" r:embed="rId90" cstate="print"/>
        <a:srcRect/>
        <a:stretch>
          <a:fillRect/>
        </a:stretch>
      </xdr:blipFill>
      <xdr:spPr bwMode="auto">
        <a:xfrm>
          <a:off x="6791325" y="39052500"/>
          <a:ext cx="285750" cy="190500"/>
        </a:xfrm>
        <a:prstGeom prst="rect">
          <a:avLst/>
        </a:prstGeom>
        <a:noFill/>
      </xdr:spPr>
    </xdr:pic>
    <xdr:clientData/>
  </xdr:twoCellAnchor>
  <xdr:twoCellAnchor>
    <xdr:from>
      <xdr:col>8</xdr:col>
      <xdr:colOff>0</xdr:colOff>
      <xdr:row>210</xdr:row>
      <xdr:rowOff>0</xdr:rowOff>
    </xdr:from>
    <xdr:to>
      <xdr:col>8</xdr:col>
      <xdr:colOff>285750</xdr:colOff>
      <xdr:row>211</xdr:row>
      <xdr:rowOff>19050</xdr:rowOff>
    </xdr:to>
    <xdr:pic>
      <xdr:nvPicPr>
        <xdr:cNvPr id="92" name="Picture 12171" descr="http://jumesyn.celestialdamnation.com/guide/weapons/lance_steel.gif"/>
        <xdr:cNvPicPr>
          <a:picLocks noChangeAspect="1" noChangeArrowheads="1"/>
        </xdr:cNvPicPr>
      </xdr:nvPicPr>
      <xdr:blipFill>
        <a:blip xmlns:r="http://schemas.openxmlformats.org/officeDocument/2006/relationships" r:embed="rId91" cstate="print"/>
        <a:srcRect/>
        <a:stretch>
          <a:fillRect/>
        </a:stretch>
      </xdr:blipFill>
      <xdr:spPr bwMode="auto">
        <a:xfrm>
          <a:off x="6791325" y="40005000"/>
          <a:ext cx="285750" cy="209550"/>
        </a:xfrm>
        <a:prstGeom prst="rect">
          <a:avLst/>
        </a:prstGeom>
        <a:noFill/>
      </xdr:spPr>
    </xdr:pic>
    <xdr:clientData/>
  </xdr:twoCellAnchor>
  <xdr:twoCellAnchor>
    <xdr:from>
      <xdr:col>8</xdr:col>
      <xdr:colOff>0</xdr:colOff>
      <xdr:row>211</xdr:row>
      <xdr:rowOff>0</xdr:rowOff>
    </xdr:from>
    <xdr:to>
      <xdr:col>8</xdr:col>
      <xdr:colOff>285750</xdr:colOff>
      <xdr:row>212</xdr:row>
      <xdr:rowOff>19050</xdr:rowOff>
    </xdr:to>
    <xdr:pic>
      <xdr:nvPicPr>
        <xdr:cNvPr id="93" name="Picture 12172" descr="http://jumesyn.celestialdamnation.com/guide/weapons/lance_steel.gif"/>
        <xdr:cNvPicPr>
          <a:picLocks noChangeAspect="1" noChangeArrowheads="1"/>
        </xdr:cNvPicPr>
      </xdr:nvPicPr>
      <xdr:blipFill>
        <a:blip xmlns:r="http://schemas.openxmlformats.org/officeDocument/2006/relationships" r:embed="rId91" cstate="print"/>
        <a:srcRect/>
        <a:stretch>
          <a:fillRect/>
        </a:stretch>
      </xdr:blipFill>
      <xdr:spPr bwMode="auto">
        <a:xfrm>
          <a:off x="6791325" y="40195500"/>
          <a:ext cx="285750" cy="209550"/>
        </a:xfrm>
        <a:prstGeom prst="rect">
          <a:avLst/>
        </a:prstGeom>
        <a:noFill/>
      </xdr:spPr>
    </xdr:pic>
    <xdr:clientData/>
  </xdr:twoCellAnchor>
  <xdr:twoCellAnchor>
    <xdr:from>
      <xdr:col>8</xdr:col>
      <xdr:colOff>0</xdr:colOff>
      <xdr:row>213</xdr:row>
      <xdr:rowOff>0</xdr:rowOff>
    </xdr:from>
    <xdr:to>
      <xdr:col>8</xdr:col>
      <xdr:colOff>285750</xdr:colOff>
      <xdr:row>214</xdr:row>
      <xdr:rowOff>19050</xdr:rowOff>
    </xdr:to>
    <xdr:sp macro="" textlink="">
      <xdr:nvSpPr>
        <xdr:cNvPr id="94" name="Picture 12173" descr="http://jumesyn.celestialdamnation.com/guide/weapons/lance_heavy.gif"/>
        <xdr:cNvSpPr>
          <a:spLocks noChangeAspect="1" noChangeArrowheads="1"/>
        </xdr:cNvSpPr>
      </xdr:nvSpPr>
      <xdr:spPr bwMode="auto">
        <a:xfrm>
          <a:off x="6791325" y="40576500"/>
          <a:ext cx="285750" cy="209550"/>
        </a:xfrm>
        <a:prstGeom prst="rect">
          <a:avLst/>
        </a:prstGeom>
        <a:noFill/>
      </xdr:spPr>
    </xdr:sp>
    <xdr:clientData/>
  </xdr:twoCellAnchor>
  <xdr:twoCellAnchor>
    <xdr:from>
      <xdr:col>8</xdr:col>
      <xdr:colOff>0</xdr:colOff>
      <xdr:row>214</xdr:row>
      <xdr:rowOff>0</xdr:rowOff>
    </xdr:from>
    <xdr:to>
      <xdr:col>8</xdr:col>
      <xdr:colOff>285750</xdr:colOff>
      <xdr:row>215</xdr:row>
      <xdr:rowOff>19050</xdr:rowOff>
    </xdr:to>
    <xdr:pic>
      <xdr:nvPicPr>
        <xdr:cNvPr id="95" name="Picture 12174" descr="http://jumesyn.celestialdamnation.com/guide/weapons/lance_chrome.gif"/>
        <xdr:cNvPicPr>
          <a:picLocks noChangeAspect="1" noChangeArrowheads="1"/>
        </xdr:cNvPicPr>
      </xdr:nvPicPr>
      <xdr:blipFill>
        <a:blip xmlns:r="http://schemas.openxmlformats.org/officeDocument/2006/relationships" r:embed="rId92" cstate="print"/>
        <a:srcRect/>
        <a:stretch>
          <a:fillRect/>
        </a:stretch>
      </xdr:blipFill>
      <xdr:spPr bwMode="auto">
        <a:xfrm>
          <a:off x="6791325" y="40767000"/>
          <a:ext cx="285750" cy="209550"/>
        </a:xfrm>
        <a:prstGeom prst="rect">
          <a:avLst/>
        </a:prstGeom>
        <a:noFill/>
      </xdr:spPr>
    </xdr:pic>
    <xdr:clientData/>
  </xdr:twoCellAnchor>
  <xdr:twoCellAnchor>
    <xdr:from>
      <xdr:col>8</xdr:col>
      <xdr:colOff>0</xdr:colOff>
      <xdr:row>216</xdr:row>
      <xdr:rowOff>0</xdr:rowOff>
    </xdr:from>
    <xdr:to>
      <xdr:col>8</xdr:col>
      <xdr:colOff>285750</xdr:colOff>
      <xdr:row>217</xdr:row>
      <xdr:rowOff>19050</xdr:rowOff>
    </xdr:to>
    <xdr:pic>
      <xdr:nvPicPr>
        <xdr:cNvPr id="96" name="Picture 12175" descr="http://jumesyn.celestialdamnation.com/guide/weapons/lance_gale.gif"/>
        <xdr:cNvPicPr>
          <a:picLocks noChangeAspect="1" noChangeArrowheads="1"/>
        </xdr:cNvPicPr>
      </xdr:nvPicPr>
      <xdr:blipFill>
        <a:blip xmlns:r="http://schemas.openxmlformats.org/officeDocument/2006/relationships" r:embed="rId93" cstate="print"/>
        <a:srcRect/>
        <a:stretch>
          <a:fillRect/>
        </a:stretch>
      </xdr:blipFill>
      <xdr:spPr bwMode="auto">
        <a:xfrm>
          <a:off x="6791325" y="41148000"/>
          <a:ext cx="285750" cy="209550"/>
        </a:xfrm>
        <a:prstGeom prst="rect">
          <a:avLst/>
        </a:prstGeom>
        <a:noFill/>
      </xdr:spPr>
    </xdr:pic>
    <xdr:clientData/>
  </xdr:twoCellAnchor>
  <xdr:twoCellAnchor>
    <xdr:from>
      <xdr:col>8</xdr:col>
      <xdr:colOff>0</xdr:colOff>
      <xdr:row>218</xdr:row>
      <xdr:rowOff>0</xdr:rowOff>
    </xdr:from>
    <xdr:to>
      <xdr:col>8</xdr:col>
      <xdr:colOff>285750</xdr:colOff>
      <xdr:row>219</xdr:row>
      <xdr:rowOff>19050</xdr:rowOff>
    </xdr:to>
    <xdr:pic>
      <xdr:nvPicPr>
        <xdr:cNvPr id="97" name="Picture 12176" descr="http://jumesyn.celestialdamnation.com/guide/weapons/lance_holy.gif"/>
        <xdr:cNvPicPr>
          <a:picLocks noChangeAspect="1" noChangeArrowheads="1"/>
        </xdr:cNvPicPr>
      </xdr:nvPicPr>
      <xdr:blipFill>
        <a:blip xmlns:r="http://schemas.openxmlformats.org/officeDocument/2006/relationships" r:embed="rId94" cstate="print"/>
        <a:srcRect/>
        <a:stretch>
          <a:fillRect/>
        </a:stretch>
      </xdr:blipFill>
      <xdr:spPr bwMode="auto">
        <a:xfrm>
          <a:off x="6791325" y="41529000"/>
          <a:ext cx="285750" cy="209550"/>
        </a:xfrm>
        <a:prstGeom prst="rect">
          <a:avLst/>
        </a:prstGeom>
        <a:noFill/>
      </xdr:spPr>
    </xdr:pic>
    <xdr:clientData/>
  </xdr:twoCellAnchor>
  <xdr:twoCellAnchor>
    <xdr:from>
      <xdr:col>8</xdr:col>
      <xdr:colOff>0</xdr:colOff>
      <xdr:row>219</xdr:row>
      <xdr:rowOff>0</xdr:rowOff>
    </xdr:from>
    <xdr:to>
      <xdr:col>8</xdr:col>
      <xdr:colOff>285750</xdr:colOff>
      <xdr:row>220</xdr:row>
      <xdr:rowOff>19050</xdr:rowOff>
    </xdr:to>
    <xdr:pic>
      <xdr:nvPicPr>
        <xdr:cNvPr id="98" name="Picture 12177" descr="http://jumesyn.celestialdamnation.com/guide/weapons/lance_dragon.gif"/>
        <xdr:cNvPicPr>
          <a:picLocks noChangeAspect="1" noChangeArrowheads="1"/>
        </xdr:cNvPicPr>
      </xdr:nvPicPr>
      <xdr:blipFill>
        <a:blip xmlns:r="http://schemas.openxmlformats.org/officeDocument/2006/relationships" r:embed="rId95" cstate="print"/>
        <a:srcRect/>
        <a:stretch>
          <a:fillRect/>
        </a:stretch>
      </xdr:blipFill>
      <xdr:spPr bwMode="auto">
        <a:xfrm>
          <a:off x="6791325" y="41719500"/>
          <a:ext cx="285750" cy="209550"/>
        </a:xfrm>
        <a:prstGeom prst="rect">
          <a:avLst/>
        </a:prstGeom>
        <a:noFill/>
      </xdr:spPr>
    </xdr:pic>
    <xdr:clientData/>
  </xdr:twoCellAnchor>
  <xdr:twoCellAnchor>
    <xdr:from>
      <xdr:col>8</xdr:col>
      <xdr:colOff>0</xdr:colOff>
      <xdr:row>220</xdr:row>
      <xdr:rowOff>0</xdr:rowOff>
    </xdr:from>
    <xdr:to>
      <xdr:col>8</xdr:col>
      <xdr:colOff>285750</xdr:colOff>
      <xdr:row>221</xdr:row>
      <xdr:rowOff>95250</xdr:rowOff>
    </xdr:to>
    <xdr:pic>
      <xdr:nvPicPr>
        <xdr:cNvPr id="99" name="Picture 12178" descr="http://jumesyn.celestialdamnation.com/guide/weapons/lance_gungnir.gif"/>
        <xdr:cNvPicPr>
          <a:picLocks noChangeAspect="1" noChangeArrowheads="1"/>
        </xdr:cNvPicPr>
      </xdr:nvPicPr>
      <xdr:blipFill>
        <a:blip xmlns:r="http://schemas.openxmlformats.org/officeDocument/2006/relationships" r:embed="rId96" cstate="print"/>
        <a:srcRect/>
        <a:stretch>
          <a:fillRect/>
        </a:stretch>
      </xdr:blipFill>
      <xdr:spPr bwMode="auto">
        <a:xfrm>
          <a:off x="6791325" y="41910000"/>
          <a:ext cx="285750" cy="285750"/>
        </a:xfrm>
        <a:prstGeom prst="rect">
          <a:avLst/>
        </a:prstGeom>
        <a:noFill/>
      </xdr:spPr>
    </xdr:pic>
    <xdr:clientData/>
  </xdr:twoCellAnchor>
  <xdr:twoCellAnchor>
    <xdr:from>
      <xdr:col>8</xdr:col>
      <xdr:colOff>0</xdr:colOff>
      <xdr:row>222</xdr:row>
      <xdr:rowOff>0</xdr:rowOff>
    </xdr:from>
    <xdr:to>
      <xdr:col>8</xdr:col>
      <xdr:colOff>285750</xdr:colOff>
      <xdr:row>223</xdr:row>
      <xdr:rowOff>19050</xdr:rowOff>
    </xdr:to>
    <xdr:pic>
      <xdr:nvPicPr>
        <xdr:cNvPr id="100" name="Picture 12179" descr="http://jumesyn.celestialdamnation.com/guide/weapons/lance_bozon.gif"/>
        <xdr:cNvPicPr>
          <a:picLocks noChangeAspect="1" noChangeArrowheads="1"/>
        </xdr:cNvPicPr>
      </xdr:nvPicPr>
      <xdr:blipFill>
        <a:blip xmlns:r="http://schemas.openxmlformats.org/officeDocument/2006/relationships" r:embed="rId97" cstate="print"/>
        <a:srcRect/>
        <a:stretch>
          <a:fillRect/>
        </a:stretch>
      </xdr:blipFill>
      <xdr:spPr bwMode="auto">
        <a:xfrm>
          <a:off x="6791325" y="42291000"/>
          <a:ext cx="285750" cy="209550"/>
        </a:xfrm>
        <a:prstGeom prst="rect">
          <a:avLst/>
        </a:prstGeom>
        <a:noFill/>
      </xdr:spPr>
    </xdr:pic>
    <xdr:clientData/>
  </xdr:twoCellAnchor>
  <xdr:twoCellAnchor>
    <xdr:from>
      <xdr:col>8</xdr:col>
      <xdr:colOff>0</xdr:colOff>
      <xdr:row>229</xdr:row>
      <xdr:rowOff>0</xdr:rowOff>
    </xdr:from>
    <xdr:to>
      <xdr:col>8</xdr:col>
      <xdr:colOff>285750</xdr:colOff>
      <xdr:row>230</xdr:row>
      <xdr:rowOff>19050</xdr:rowOff>
    </xdr:to>
    <xdr:pic>
      <xdr:nvPicPr>
        <xdr:cNvPr id="101" name="Picture 12180" descr="http://jumesyn.celestialdamnation.com/guide/weapons/mace_middle.gif"/>
        <xdr:cNvPicPr>
          <a:picLocks noChangeAspect="1" noChangeArrowheads="1"/>
        </xdr:cNvPicPr>
      </xdr:nvPicPr>
      <xdr:blipFill>
        <a:blip xmlns:r="http://schemas.openxmlformats.org/officeDocument/2006/relationships" r:embed="rId98" cstate="print"/>
        <a:srcRect/>
        <a:stretch>
          <a:fillRect/>
        </a:stretch>
      </xdr:blipFill>
      <xdr:spPr bwMode="auto">
        <a:xfrm>
          <a:off x="6791325" y="43624500"/>
          <a:ext cx="285750" cy="209550"/>
        </a:xfrm>
        <a:prstGeom prst="rect">
          <a:avLst/>
        </a:prstGeom>
        <a:noFill/>
      </xdr:spPr>
    </xdr:pic>
    <xdr:clientData/>
  </xdr:twoCellAnchor>
  <xdr:twoCellAnchor>
    <xdr:from>
      <xdr:col>8</xdr:col>
      <xdr:colOff>0</xdr:colOff>
      <xdr:row>231</xdr:row>
      <xdr:rowOff>0</xdr:rowOff>
    </xdr:from>
    <xdr:to>
      <xdr:col>8</xdr:col>
      <xdr:colOff>285750</xdr:colOff>
      <xdr:row>232</xdr:row>
      <xdr:rowOff>19050</xdr:rowOff>
    </xdr:to>
    <xdr:pic>
      <xdr:nvPicPr>
        <xdr:cNvPr id="102" name="Picture 12181" descr="http://jumesyn.celestialdamnation.com/guide/weapons/mace_heavy.gif"/>
        <xdr:cNvPicPr>
          <a:picLocks noChangeAspect="1" noChangeArrowheads="1"/>
        </xdr:cNvPicPr>
      </xdr:nvPicPr>
      <xdr:blipFill>
        <a:blip xmlns:r="http://schemas.openxmlformats.org/officeDocument/2006/relationships" r:embed="rId99" cstate="print"/>
        <a:srcRect/>
        <a:stretch>
          <a:fillRect/>
        </a:stretch>
      </xdr:blipFill>
      <xdr:spPr bwMode="auto">
        <a:xfrm>
          <a:off x="6791325" y="44005500"/>
          <a:ext cx="285750" cy="209550"/>
        </a:xfrm>
        <a:prstGeom prst="rect">
          <a:avLst/>
        </a:prstGeom>
        <a:noFill/>
      </xdr:spPr>
    </xdr:pic>
    <xdr:clientData/>
  </xdr:twoCellAnchor>
  <xdr:twoCellAnchor>
    <xdr:from>
      <xdr:col>8</xdr:col>
      <xdr:colOff>0</xdr:colOff>
      <xdr:row>233</xdr:row>
      <xdr:rowOff>0</xdr:rowOff>
    </xdr:from>
    <xdr:to>
      <xdr:col>8</xdr:col>
      <xdr:colOff>285750</xdr:colOff>
      <xdr:row>234</xdr:row>
      <xdr:rowOff>19050</xdr:rowOff>
    </xdr:to>
    <xdr:pic>
      <xdr:nvPicPr>
        <xdr:cNvPr id="103" name="Picture 12182" descr="http://jumesyn.celestialdamnation.com/guide/weapons/mace_battle.gif"/>
        <xdr:cNvPicPr>
          <a:picLocks noChangeAspect="1" noChangeArrowheads="1"/>
        </xdr:cNvPicPr>
      </xdr:nvPicPr>
      <xdr:blipFill>
        <a:blip xmlns:r="http://schemas.openxmlformats.org/officeDocument/2006/relationships" r:embed="rId100" cstate="print"/>
        <a:srcRect/>
        <a:stretch>
          <a:fillRect/>
        </a:stretch>
      </xdr:blipFill>
      <xdr:spPr bwMode="auto">
        <a:xfrm>
          <a:off x="6791325" y="44386500"/>
          <a:ext cx="285750" cy="209550"/>
        </a:xfrm>
        <a:prstGeom prst="rect">
          <a:avLst/>
        </a:prstGeom>
        <a:noFill/>
      </xdr:spPr>
    </xdr:pic>
    <xdr:clientData/>
  </xdr:twoCellAnchor>
  <xdr:twoCellAnchor>
    <xdr:from>
      <xdr:col>8</xdr:col>
      <xdr:colOff>0</xdr:colOff>
      <xdr:row>234</xdr:row>
      <xdr:rowOff>0</xdr:rowOff>
    </xdr:from>
    <xdr:to>
      <xdr:col>8</xdr:col>
      <xdr:colOff>285750</xdr:colOff>
      <xdr:row>235</xdr:row>
      <xdr:rowOff>19050</xdr:rowOff>
    </xdr:to>
    <xdr:pic>
      <xdr:nvPicPr>
        <xdr:cNvPr id="104" name="Picture 12183" descr="http://jumesyn.celestialdamnation.com/guide/weapons/mace_saint.gif"/>
        <xdr:cNvPicPr>
          <a:picLocks noChangeAspect="1" noChangeArrowheads="1"/>
        </xdr:cNvPicPr>
      </xdr:nvPicPr>
      <xdr:blipFill>
        <a:blip xmlns:r="http://schemas.openxmlformats.org/officeDocument/2006/relationships" r:embed="rId101" cstate="print"/>
        <a:srcRect/>
        <a:stretch>
          <a:fillRect/>
        </a:stretch>
      </xdr:blipFill>
      <xdr:spPr bwMode="auto">
        <a:xfrm>
          <a:off x="6791325" y="44577000"/>
          <a:ext cx="285750" cy="209550"/>
        </a:xfrm>
        <a:prstGeom prst="rect">
          <a:avLst/>
        </a:prstGeom>
        <a:noFill/>
      </xdr:spPr>
    </xdr:pic>
    <xdr:clientData/>
  </xdr:twoCellAnchor>
  <xdr:twoCellAnchor>
    <xdr:from>
      <xdr:col>8</xdr:col>
      <xdr:colOff>0</xdr:colOff>
      <xdr:row>236</xdr:row>
      <xdr:rowOff>0</xdr:rowOff>
    </xdr:from>
    <xdr:to>
      <xdr:col>8</xdr:col>
      <xdr:colOff>285750</xdr:colOff>
      <xdr:row>237</xdr:row>
      <xdr:rowOff>19050</xdr:rowOff>
    </xdr:to>
    <xdr:pic>
      <xdr:nvPicPr>
        <xdr:cNvPr id="105" name="Picture 12184" descr="http://jumesyn.celestialdamnation.com/guide/weapons/mace_revenge.gif"/>
        <xdr:cNvPicPr>
          <a:picLocks noChangeAspect="1" noChangeArrowheads="1"/>
        </xdr:cNvPicPr>
      </xdr:nvPicPr>
      <xdr:blipFill>
        <a:blip xmlns:r="http://schemas.openxmlformats.org/officeDocument/2006/relationships" r:embed="rId102" cstate="print"/>
        <a:srcRect/>
        <a:stretch>
          <a:fillRect/>
        </a:stretch>
      </xdr:blipFill>
      <xdr:spPr bwMode="auto">
        <a:xfrm>
          <a:off x="6791325" y="44958000"/>
          <a:ext cx="285750" cy="209550"/>
        </a:xfrm>
        <a:prstGeom prst="rect">
          <a:avLst/>
        </a:prstGeom>
        <a:noFill/>
      </xdr:spPr>
    </xdr:pic>
    <xdr:clientData/>
  </xdr:twoCellAnchor>
  <xdr:twoCellAnchor>
    <xdr:from>
      <xdr:col>8</xdr:col>
      <xdr:colOff>0</xdr:colOff>
      <xdr:row>237</xdr:row>
      <xdr:rowOff>0</xdr:rowOff>
    </xdr:from>
    <xdr:to>
      <xdr:col>8</xdr:col>
      <xdr:colOff>285750</xdr:colOff>
      <xdr:row>238</xdr:row>
      <xdr:rowOff>19050</xdr:rowOff>
    </xdr:to>
    <xdr:pic>
      <xdr:nvPicPr>
        <xdr:cNvPr id="106" name="Picture 12185" descr="http://jumesyn.celestialdamnation.com/guide/weapons/mace_thor_hammer.gif"/>
        <xdr:cNvPicPr>
          <a:picLocks noChangeAspect="1" noChangeArrowheads="1"/>
        </xdr:cNvPicPr>
      </xdr:nvPicPr>
      <xdr:blipFill>
        <a:blip xmlns:r="http://schemas.openxmlformats.org/officeDocument/2006/relationships" r:embed="rId103" cstate="print"/>
        <a:srcRect/>
        <a:stretch>
          <a:fillRect/>
        </a:stretch>
      </xdr:blipFill>
      <xdr:spPr bwMode="auto">
        <a:xfrm>
          <a:off x="6791325" y="45148500"/>
          <a:ext cx="285750" cy="209550"/>
        </a:xfrm>
        <a:prstGeom prst="rect">
          <a:avLst/>
        </a:prstGeom>
        <a:noFill/>
      </xdr:spPr>
    </xdr:pic>
    <xdr:clientData/>
  </xdr:twoCellAnchor>
  <xdr:twoCellAnchor>
    <xdr:from>
      <xdr:col>8</xdr:col>
      <xdr:colOff>0</xdr:colOff>
      <xdr:row>239</xdr:row>
      <xdr:rowOff>0</xdr:rowOff>
    </xdr:from>
    <xdr:to>
      <xdr:col>8</xdr:col>
      <xdr:colOff>285750</xdr:colOff>
      <xdr:row>240</xdr:row>
      <xdr:rowOff>19050</xdr:rowOff>
    </xdr:to>
    <xdr:pic>
      <xdr:nvPicPr>
        <xdr:cNvPr id="107" name="Picture 12186" descr="http://jumesyn.celestialdamnation.com/guide/weapons/mace_masculine.gif"/>
        <xdr:cNvPicPr>
          <a:picLocks noChangeAspect="1" noChangeArrowheads="1"/>
        </xdr:cNvPicPr>
      </xdr:nvPicPr>
      <xdr:blipFill>
        <a:blip xmlns:r="http://schemas.openxmlformats.org/officeDocument/2006/relationships" r:embed="rId104" cstate="print"/>
        <a:srcRect/>
        <a:stretch>
          <a:fillRect/>
        </a:stretch>
      </xdr:blipFill>
      <xdr:spPr bwMode="auto">
        <a:xfrm>
          <a:off x="6791325" y="45529500"/>
          <a:ext cx="285750" cy="209550"/>
        </a:xfrm>
        <a:prstGeom prst="rect">
          <a:avLst/>
        </a:prstGeom>
        <a:noFill/>
      </xdr:spPr>
    </xdr:pic>
    <xdr:clientData/>
  </xdr:twoCellAnchor>
  <xdr:twoCellAnchor>
    <xdr:from>
      <xdr:col>8</xdr:col>
      <xdr:colOff>0</xdr:colOff>
      <xdr:row>241</xdr:row>
      <xdr:rowOff>0</xdr:rowOff>
    </xdr:from>
    <xdr:to>
      <xdr:col>8</xdr:col>
      <xdr:colOff>285750</xdr:colOff>
      <xdr:row>242</xdr:row>
      <xdr:rowOff>19050</xdr:rowOff>
    </xdr:to>
    <xdr:pic>
      <xdr:nvPicPr>
        <xdr:cNvPr id="108" name="Picture 12187" descr="http://jumesyn.celestialdamnation.com/guide/weapons/mace_geo_hammer.gif"/>
        <xdr:cNvPicPr>
          <a:picLocks noChangeAspect="1" noChangeArrowheads="1"/>
        </xdr:cNvPicPr>
      </xdr:nvPicPr>
      <xdr:blipFill>
        <a:blip xmlns:r="http://schemas.openxmlformats.org/officeDocument/2006/relationships" r:embed="rId105" cstate="print"/>
        <a:srcRect/>
        <a:stretch>
          <a:fillRect/>
        </a:stretch>
      </xdr:blipFill>
      <xdr:spPr bwMode="auto">
        <a:xfrm>
          <a:off x="6791325" y="45910500"/>
          <a:ext cx="285750" cy="209550"/>
        </a:xfrm>
        <a:prstGeom prst="rect">
          <a:avLst/>
        </a:prstGeom>
        <a:noFill/>
      </xdr:spPr>
    </xdr:pic>
    <xdr:clientData/>
  </xdr:twoCellAnchor>
  <xdr:twoCellAnchor>
    <xdr:from>
      <xdr:col>8</xdr:col>
      <xdr:colOff>0</xdr:colOff>
      <xdr:row>248</xdr:row>
      <xdr:rowOff>0</xdr:rowOff>
    </xdr:from>
    <xdr:to>
      <xdr:col>8</xdr:col>
      <xdr:colOff>285750</xdr:colOff>
      <xdr:row>249</xdr:row>
      <xdr:rowOff>19050</xdr:rowOff>
    </xdr:to>
    <xdr:pic>
      <xdr:nvPicPr>
        <xdr:cNvPr id="109" name="Picture 12188" descr="http://jumesyn.celestialdamnation.com/guide/weapons/quarrel_light.gif"/>
        <xdr:cNvPicPr>
          <a:picLocks noChangeAspect="1" noChangeArrowheads="1"/>
        </xdr:cNvPicPr>
      </xdr:nvPicPr>
      <xdr:blipFill>
        <a:blip xmlns:r="http://schemas.openxmlformats.org/officeDocument/2006/relationships" r:embed="rId106" cstate="print"/>
        <a:srcRect/>
        <a:stretch>
          <a:fillRect/>
        </a:stretch>
      </xdr:blipFill>
      <xdr:spPr bwMode="auto">
        <a:xfrm>
          <a:off x="6791325" y="47244000"/>
          <a:ext cx="285750" cy="209550"/>
        </a:xfrm>
        <a:prstGeom prst="rect">
          <a:avLst/>
        </a:prstGeom>
        <a:noFill/>
      </xdr:spPr>
    </xdr:pic>
    <xdr:clientData/>
  </xdr:twoCellAnchor>
  <xdr:twoCellAnchor>
    <xdr:from>
      <xdr:col>8</xdr:col>
      <xdr:colOff>0</xdr:colOff>
      <xdr:row>250</xdr:row>
      <xdr:rowOff>0</xdr:rowOff>
    </xdr:from>
    <xdr:to>
      <xdr:col>8</xdr:col>
      <xdr:colOff>285750</xdr:colOff>
      <xdr:row>251</xdr:row>
      <xdr:rowOff>19050</xdr:rowOff>
    </xdr:to>
    <xdr:pic>
      <xdr:nvPicPr>
        <xdr:cNvPr id="110" name="Picture 12189" descr="http://jumesyn.celestialdamnation.com/guide/weapons/quarrel_middle.gif"/>
        <xdr:cNvPicPr>
          <a:picLocks noChangeAspect="1" noChangeArrowheads="1"/>
        </xdr:cNvPicPr>
      </xdr:nvPicPr>
      <xdr:blipFill>
        <a:blip xmlns:r="http://schemas.openxmlformats.org/officeDocument/2006/relationships" r:embed="rId107" cstate="print"/>
        <a:srcRect/>
        <a:stretch>
          <a:fillRect/>
        </a:stretch>
      </xdr:blipFill>
      <xdr:spPr bwMode="auto">
        <a:xfrm>
          <a:off x="6791325" y="47625000"/>
          <a:ext cx="285750" cy="209550"/>
        </a:xfrm>
        <a:prstGeom prst="rect">
          <a:avLst/>
        </a:prstGeom>
        <a:noFill/>
      </xdr:spPr>
    </xdr:pic>
    <xdr:clientData/>
  </xdr:twoCellAnchor>
  <xdr:twoCellAnchor>
    <xdr:from>
      <xdr:col>8</xdr:col>
      <xdr:colOff>0</xdr:colOff>
      <xdr:row>252</xdr:row>
      <xdr:rowOff>0</xdr:rowOff>
    </xdr:from>
    <xdr:to>
      <xdr:col>8</xdr:col>
      <xdr:colOff>285750</xdr:colOff>
      <xdr:row>253</xdr:row>
      <xdr:rowOff>19050</xdr:rowOff>
    </xdr:to>
    <xdr:pic>
      <xdr:nvPicPr>
        <xdr:cNvPr id="111" name="Picture 12190" descr="http://jumesyn.celestialdamnation.com/guide/weapons/quarrel_heavy.gif"/>
        <xdr:cNvPicPr>
          <a:picLocks noChangeAspect="1" noChangeArrowheads="1"/>
        </xdr:cNvPicPr>
      </xdr:nvPicPr>
      <xdr:blipFill>
        <a:blip xmlns:r="http://schemas.openxmlformats.org/officeDocument/2006/relationships" r:embed="rId108" cstate="print"/>
        <a:srcRect/>
        <a:stretch>
          <a:fillRect/>
        </a:stretch>
      </xdr:blipFill>
      <xdr:spPr bwMode="auto">
        <a:xfrm>
          <a:off x="6791325" y="48006000"/>
          <a:ext cx="285750" cy="209550"/>
        </a:xfrm>
        <a:prstGeom prst="rect">
          <a:avLst/>
        </a:prstGeom>
        <a:noFill/>
      </xdr:spPr>
    </xdr:pic>
    <xdr:clientData/>
  </xdr:twoCellAnchor>
  <xdr:twoCellAnchor>
    <xdr:from>
      <xdr:col>8</xdr:col>
      <xdr:colOff>0</xdr:colOff>
      <xdr:row>254</xdr:row>
      <xdr:rowOff>0</xdr:rowOff>
    </xdr:from>
    <xdr:to>
      <xdr:col>8</xdr:col>
      <xdr:colOff>285750</xdr:colOff>
      <xdr:row>255</xdr:row>
      <xdr:rowOff>19050</xdr:rowOff>
    </xdr:to>
    <xdr:pic>
      <xdr:nvPicPr>
        <xdr:cNvPr id="112" name="Picture 12191" descr="http://jumesyn.celestialdamnation.com/guide/weapons/quarrel_mithril.gif"/>
        <xdr:cNvPicPr>
          <a:picLocks noChangeAspect="1" noChangeArrowheads="1"/>
        </xdr:cNvPicPr>
      </xdr:nvPicPr>
      <xdr:blipFill>
        <a:blip xmlns:r="http://schemas.openxmlformats.org/officeDocument/2006/relationships" r:embed="rId109" cstate="print"/>
        <a:srcRect/>
        <a:stretch>
          <a:fillRect/>
        </a:stretch>
      </xdr:blipFill>
      <xdr:spPr bwMode="auto">
        <a:xfrm>
          <a:off x="6791325" y="48387000"/>
          <a:ext cx="285750" cy="209550"/>
        </a:xfrm>
        <a:prstGeom prst="rect">
          <a:avLst/>
        </a:prstGeom>
        <a:noFill/>
      </xdr:spPr>
    </xdr:pic>
    <xdr:clientData/>
  </xdr:twoCellAnchor>
  <xdr:twoCellAnchor>
    <xdr:from>
      <xdr:col>8</xdr:col>
      <xdr:colOff>0</xdr:colOff>
      <xdr:row>256</xdr:row>
      <xdr:rowOff>0</xdr:rowOff>
    </xdr:from>
    <xdr:to>
      <xdr:col>8</xdr:col>
      <xdr:colOff>285750</xdr:colOff>
      <xdr:row>256</xdr:row>
      <xdr:rowOff>285750</xdr:rowOff>
    </xdr:to>
    <xdr:pic>
      <xdr:nvPicPr>
        <xdr:cNvPr id="113" name="Picture 12192" descr="http://jumesyn.celestialdamnation.com/guide/weapons/quarrel_flame.gif"/>
        <xdr:cNvPicPr>
          <a:picLocks noChangeAspect="1" noChangeArrowheads="1"/>
        </xdr:cNvPicPr>
      </xdr:nvPicPr>
      <xdr:blipFill>
        <a:blip xmlns:r="http://schemas.openxmlformats.org/officeDocument/2006/relationships" r:embed="rId110" cstate="print"/>
        <a:srcRect/>
        <a:stretch>
          <a:fillRect/>
        </a:stretch>
      </xdr:blipFill>
      <xdr:spPr bwMode="auto">
        <a:xfrm>
          <a:off x="6791325" y="48768000"/>
          <a:ext cx="285750" cy="190500"/>
        </a:xfrm>
        <a:prstGeom prst="rect">
          <a:avLst/>
        </a:prstGeom>
        <a:noFill/>
      </xdr:spPr>
    </xdr:pic>
    <xdr:clientData/>
  </xdr:twoCellAnchor>
  <xdr:twoCellAnchor>
    <xdr:from>
      <xdr:col>8</xdr:col>
      <xdr:colOff>0</xdr:colOff>
      <xdr:row>258</xdr:row>
      <xdr:rowOff>0</xdr:rowOff>
    </xdr:from>
    <xdr:to>
      <xdr:col>8</xdr:col>
      <xdr:colOff>285750</xdr:colOff>
      <xdr:row>258</xdr:row>
      <xdr:rowOff>285750</xdr:rowOff>
    </xdr:to>
    <xdr:pic>
      <xdr:nvPicPr>
        <xdr:cNvPr id="114" name="Picture 12193" descr="http://jumesyn.celestialdamnation.com/guide/weapons/quarrel_sonic.gif"/>
        <xdr:cNvPicPr>
          <a:picLocks noChangeAspect="1" noChangeArrowheads="1"/>
        </xdr:cNvPicPr>
      </xdr:nvPicPr>
      <xdr:blipFill>
        <a:blip xmlns:r="http://schemas.openxmlformats.org/officeDocument/2006/relationships" r:embed="rId111" cstate="print"/>
        <a:srcRect/>
        <a:stretch>
          <a:fillRect/>
        </a:stretch>
      </xdr:blipFill>
      <xdr:spPr bwMode="auto">
        <a:xfrm>
          <a:off x="6791325" y="49149000"/>
          <a:ext cx="285750" cy="190500"/>
        </a:xfrm>
        <a:prstGeom prst="rect">
          <a:avLst/>
        </a:prstGeom>
        <a:noFill/>
      </xdr:spPr>
    </xdr:pic>
    <xdr:clientData/>
  </xdr:twoCellAnchor>
  <xdr:twoCellAnchor>
    <xdr:from>
      <xdr:col>8</xdr:col>
      <xdr:colOff>0</xdr:colOff>
      <xdr:row>260</xdr:row>
      <xdr:rowOff>0</xdr:rowOff>
    </xdr:from>
    <xdr:to>
      <xdr:col>8</xdr:col>
      <xdr:colOff>285750</xdr:colOff>
      <xdr:row>260</xdr:row>
      <xdr:rowOff>285750</xdr:rowOff>
    </xdr:to>
    <xdr:pic>
      <xdr:nvPicPr>
        <xdr:cNvPr id="115" name="Picture 12194" descr="http://jumesyn.celestialdamnation.com/guide/weapons/quarrel_doppler.gif"/>
        <xdr:cNvPicPr>
          <a:picLocks noChangeAspect="1" noChangeArrowheads="1"/>
        </xdr:cNvPicPr>
      </xdr:nvPicPr>
      <xdr:blipFill>
        <a:blip xmlns:r="http://schemas.openxmlformats.org/officeDocument/2006/relationships" r:embed="rId112" cstate="print"/>
        <a:srcRect/>
        <a:stretch>
          <a:fillRect/>
        </a:stretch>
      </xdr:blipFill>
      <xdr:spPr bwMode="auto">
        <a:xfrm>
          <a:off x="6791325" y="49530000"/>
          <a:ext cx="285750" cy="190500"/>
        </a:xfrm>
        <a:prstGeom prst="rect">
          <a:avLst/>
        </a:prstGeom>
        <a:noFill/>
      </xdr:spPr>
    </xdr:pic>
    <xdr:clientData/>
  </xdr:twoCellAnchor>
  <xdr:twoCellAnchor>
    <xdr:from>
      <xdr:col>8</xdr:col>
      <xdr:colOff>0</xdr:colOff>
      <xdr:row>267</xdr:row>
      <xdr:rowOff>0</xdr:rowOff>
    </xdr:from>
    <xdr:to>
      <xdr:col>8</xdr:col>
      <xdr:colOff>285750</xdr:colOff>
      <xdr:row>268</xdr:row>
      <xdr:rowOff>19050</xdr:rowOff>
    </xdr:to>
    <xdr:pic>
      <xdr:nvPicPr>
        <xdr:cNvPr id="116" name="Picture 12195" descr="http://jumesyn.celestialdamnation.com/guide/weapons/rapier_light.gif"/>
        <xdr:cNvPicPr>
          <a:picLocks noChangeAspect="1" noChangeArrowheads="1"/>
        </xdr:cNvPicPr>
      </xdr:nvPicPr>
      <xdr:blipFill>
        <a:blip xmlns:r="http://schemas.openxmlformats.org/officeDocument/2006/relationships" r:embed="rId113" cstate="print"/>
        <a:srcRect/>
        <a:stretch>
          <a:fillRect/>
        </a:stretch>
      </xdr:blipFill>
      <xdr:spPr bwMode="auto">
        <a:xfrm>
          <a:off x="6791325" y="50863500"/>
          <a:ext cx="285750" cy="209550"/>
        </a:xfrm>
        <a:prstGeom prst="rect">
          <a:avLst/>
        </a:prstGeom>
        <a:noFill/>
      </xdr:spPr>
    </xdr:pic>
    <xdr:clientData/>
  </xdr:twoCellAnchor>
  <xdr:twoCellAnchor>
    <xdr:from>
      <xdr:col>8</xdr:col>
      <xdr:colOff>0</xdr:colOff>
      <xdr:row>269</xdr:row>
      <xdr:rowOff>0</xdr:rowOff>
    </xdr:from>
    <xdr:to>
      <xdr:col>8</xdr:col>
      <xdr:colOff>285750</xdr:colOff>
      <xdr:row>270</xdr:row>
      <xdr:rowOff>19050</xdr:rowOff>
    </xdr:to>
    <xdr:pic>
      <xdr:nvPicPr>
        <xdr:cNvPr id="117" name="Picture 12196" descr="http://jumesyn.celestialdamnation.com/guide/weapons/rapier_battle.gif"/>
        <xdr:cNvPicPr>
          <a:picLocks noChangeAspect="1" noChangeArrowheads="1"/>
        </xdr:cNvPicPr>
      </xdr:nvPicPr>
      <xdr:blipFill>
        <a:blip xmlns:r="http://schemas.openxmlformats.org/officeDocument/2006/relationships" r:embed="rId114" cstate="print"/>
        <a:srcRect/>
        <a:stretch>
          <a:fillRect/>
        </a:stretch>
      </xdr:blipFill>
      <xdr:spPr bwMode="auto">
        <a:xfrm>
          <a:off x="6791325" y="51244500"/>
          <a:ext cx="285750" cy="209550"/>
        </a:xfrm>
        <a:prstGeom prst="rect">
          <a:avLst/>
        </a:prstGeom>
        <a:noFill/>
      </xdr:spPr>
    </xdr:pic>
    <xdr:clientData/>
  </xdr:twoCellAnchor>
  <xdr:twoCellAnchor>
    <xdr:from>
      <xdr:col>8</xdr:col>
      <xdr:colOff>0</xdr:colOff>
      <xdr:row>271</xdr:row>
      <xdr:rowOff>0</xdr:rowOff>
    </xdr:from>
    <xdr:to>
      <xdr:col>8</xdr:col>
      <xdr:colOff>285750</xdr:colOff>
      <xdr:row>272</xdr:row>
      <xdr:rowOff>19050</xdr:rowOff>
    </xdr:to>
    <xdr:pic>
      <xdr:nvPicPr>
        <xdr:cNvPr id="118" name="Picture 12197" descr="http://jumesyn.celestialdamnation.com/guide/weapons/rapier_master.gif"/>
        <xdr:cNvPicPr>
          <a:picLocks noChangeAspect="1" noChangeArrowheads="1"/>
        </xdr:cNvPicPr>
      </xdr:nvPicPr>
      <xdr:blipFill>
        <a:blip xmlns:r="http://schemas.openxmlformats.org/officeDocument/2006/relationships" r:embed="rId115" cstate="print"/>
        <a:srcRect/>
        <a:stretch>
          <a:fillRect/>
        </a:stretch>
      </xdr:blipFill>
      <xdr:spPr bwMode="auto">
        <a:xfrm>
          <a:off x="6791325" y="51625500"/>
          <a:ext cx="285750" cy="209550"/>
        </a:xfrm>
        <a:prstGeom prst="rect">
          <a:avLst/>
        </a:prstGeom>
        <a:noFill/>
      </xdr:spPr>
    </xdr:pic>
    <xdr:clientData/>
  </xdr:twoCellAnchor>
  <xdr:twoCellAnchor>
    <xdr:from>
      <xdr:col>8</xdr:col>
      <xdr:colOff>0</xdr:colOff>
      <xdr:row>273</xdr:row>
      <xdr:rowOff>0</xdr:rowOff>
    </xdr:from>
    <xdr:to>
      <xdr:col>8</xdr:col>
      <xdr:colOff>285750</xdr:colOff>
      <xdr:row>274</xdr:row>
      <xdr:rowOff>19050</xdr:rowOff>
    </xdr:to>
    <xdr:pic>
      <xdr:nvPicPr>
        <xdr:cNvPr id="119" name="Picture 12198" descr="http://jumesyn.celestialdamnation.com/guide/weapons/rapier_mist.gif"/>
        <xdr:cNvPicPr>
          <a:picLocks noChangeAspect="1" noChangeArrowheads="1"/>
        </xdr:cNvPicPr>
      </xdr:nvPicPr>
      <xdr:blipFill>
        <a:blip xmlns:r="http://schemas.openxmlformats.org/officeDocument/2006/relationships" r:embed="rId116" cstate="print"/>
        <a:srcRect/>
        <a:stretch>
          <a:fillRect/>
        </a:stretch>
      </xdr:blipFill>
      <xdr:spPr bwMode="auto">
        <a:xfrm>
          <a:off x="6791325" y="52006500"/>
          <a:ext cx="285750" cy="209550"/>
        </a:xfrm>
        <a:prstGeom prst="rect">
          <a:avLst/>
        </a:prstGeom>
        <a:noFill/>
      </xdr:spPr>
    </xdr:pic>
    <xdr:clientData/>
  </xdr:twoCellAnchor>
  <xdr:twoCellAnchor>
    <xdr:from>
      <xdr:col>8</xdr:col>
      <xdr:colOff>0</xdr:colOff>
      <xdr:row>275</xdr:row>
      <xdr:rowOff>0</xdr:rowOff>
    </xdr:from>
    <xdr:to>
      <xdr:col>8</xdr:col>
      <xdr:colOff>285750</xdr:colOff>
      <xdr:row>275</xdr:row>
      <xdr:rowOff>285750</xdr:rowOff>
    </xdr:to>
    <xdr:pic>
      <xdr:nvPicPr>
        <xdr:cNvPr id="120" name="Picture 12199" descr="http://jumesyn.celestialdamnation.com/guide/weapons/rapier_magic.gif"/>
        <xdr:cNvPicPr>
          <a:picLocks noChangeAspect="1" noChangeArrowheads="1"/>
        </xdr:cNvPicPr>
      </xdr:nvPicPr>
      <xdr:blipFill>
        <a:blip xmlns:r="http://schemas.openxmlformats.org/officeDocument/2006/relationships" r:embed="rId117" cstate="print"/>
        <a:srcRect/>
        <a:stretch>
          <a:fillRect/>
        </a:stretch>
      </xdr:blipFill>
      <xdr:spPr bwMode="auto">
        <a:xfrm>
          <a:off x="6791325" y="52387500"/>
          <a:ext cx="285750" cy="190500"/>
        </a:xfrm>
        <a:prstGeom prst="rect">
          <a:avLst/>
        </a:prstGeom>
        <a:noFill/>
      </xdr:spPr>
    </xdr:pic>
    <xdr:clientData/>
  </xdr:twoCellAnchor>
  <xdr:twoCellAnchor>
    <xdr:from>
      <xdr:col>8</xdr:col>
      <xdr:colOff>0</xdr:colOff>
      <xdr:row>277</xdr:row>
      <xdr:rowOff>0</xdr:rowOff>
    </xdr:from>
    <xdr:to>
      <xdr:col>8</xdr:col>
      <xdr:colOff>285750</xdr:colOff>
      <xdr:row>277</xdr:row>
      <xdr:rowOff>285750</xdr:rowOff>
    </xdr:to>
    <xdr:pic>
      <xdr:nvPicPr>
        <xdr:cNvPr id="121" name="Picture 12200" descr="http://jumesyn.celestialdamnation.com/guide/weapons/rapier_shine.gif"/>
        <xdr:cNvPicPr>
          <a:picLocks noChangeAspect="1" noChangeArrowheads="1"/>
        </xdr:cNvPicPr>
      </xdr:nvPicPr>
      <xdr:blipFill>
        <a:blip xmlns:r="http://schemas.openxmlformats.org/officeDocument/2006/relationships" r:embed="rId118" cstate="print"/>
        <a:srcRect/>
        <a:stretch>
          <a:fillRect/>
        </a:stretch>
      </xdr:blipFill>
      <xdr:spPr bwMode="auto">
        <a:xfrm>
          <a:off x="6791325" y="52768500"/>
          <a:ext cx="285750" cy="190500"/>
        </a:xfrm>
        <a:prstGeom prst="rect">
          <a:avLst/>
        </a:prstGeom>
        <a:noFill/>
      </xdr:spPr>
    </xdr:pic>
    <xdr:clientData/>
  </xdr:twoCellAnchor>
  <xdr:twoCellAnchor>
    <xdr:from>
      <xdr:col>8</xdr:col>
      <xdr:colOff>0</xdr:colOff>
      <xdr:row>279</xdr:row>
      <xdr:rowOff>0</xdr:rowOff>
    </xdr:from>
    <xdr:to>
      <xdr:col>8</xdr:col>
      <xdr:colOff>285750</xdr:colOff>
      <xdr:row>279</xdr:row>
      <xdr:rowOff>285750</xdr:rowOff>
    </xdr:to>
    <xdr:pic>
      <xdr:nvPicPr>
        <xdr:cNvPr id="122" name="Picture 12201" descr="http://jumesyn.celestialdamnation.com/guide/weapons/rapier_god.gif"/>
        <xdr:cNvPicPr>
          <a:picLocks noChangeAspect="1" noChangeArrowheads="1"/>
        </xdr:cNvPicPr>
      </xdr:nvPicPr>
      <xdr:blipFill>
        <a:blip xmlns:r="http://schemas.openxmlformats.org/officeDocument/2006/relationships" r:embed="rId119" cstate="print"/>
        <a:srcRect/>
        <a:stretch>
          <a:fillRect/>
        </a:stretch>
      </xdr:blipFill>
      <xdr:spPr bwMode="auto">
        <a:xfrm>
          <a:off x="6791325" y="53149500"/>
          <a:ext cx="285750" cy="190500"/>
        </a:xfrm>
        <a:prstGeom prst="rect">
          <a:avLst/>
        </a:prstGeom>
        <a:noFill/>
      </xdr:spPr>
    </xdr:pic>
    <xdr:clientData/>
  </xdr:twoCellAnchor>
  <xdr:twoCellAnchor>
    <xdr:from>
      <xdr:col>8</xdr:col>
      <xdr:colOff>0</xdr:colOff>
      <xdr:row>280</xdr:row>
      <xdr:rowOff>0</xdr:rowOff>
    </xdr:from>
    <xdr:to>
      <xdr:col>8</xdr:col>
      <xdr:colOff>285750</xdr:colOff>
      <xdr:row>280</xdr:row>
      <xdr:rowOff>285750</xdr:rowOff>
    </xdr:to>
    <xdr:pic>
      <xdr:nvPicPr>
        <xdr:cNvPr id="123" name="Picture 12202" descr="http://jumesyn.celestialdamnation.com/guide/weapons/rapier_final.gif"/>
        <xdr:cNvPicPr>
          <a:picLocks noChangeAspect="1" noChangeArrowheads="1"/>
        </xdr:cNvPicPr>
      </xdr:nvPicPr>
      <xdr:blipFill>
        <a:blip xmlns:r="http://schemas.openxmlformats.org/officeDocument/2006/relationships" r:embed="rId120" cstate="print"/>
        <a:srcRect/>
        <a:stretch>
          <a:fillRect/>
        </a:stretch>
      </xdr:blipFill>
      <xdr:spPr bwMode="auto">
        <a:xfrm>
          <a:off x="6791325" y="53340000"/>
          <a:ext cx="285750" cy="190500"/>
        </a:xfrm>
        <a:prstGeom prst="rect">
          <a:avLst/>
        </a:prstGeom>
        <a:noFill/>
      </xdr:spPr>
    </xdr:pic>
    <xdr:clientData/>
  </xdr:twoCellAnchor>
  <xdr:twoCellAnchor>
    <xdr:from>
      <xdr:col>8</xdr:col>
      <xdr:colOff>0</xdr:colOff>
      <xdr:row>281</xdr:row>
      <xdr:rowOff>0</xdr:rowOff>
    </xdr:from>
    <xdr:to>
      <xdr:col>8</xdr:col>
      <xdr:colOff>285750</xdr:colOff>
      <xdr:row>281</xdr:row>
      <xdr:rowOff>285750</xdr:rowOff>
    </xdr:to>
    <xdr:pic>
      <xdr:nvPicPr>
        <xdr:cNvPr id="124" name="Picture 12203" descr="http://jumesyn.celestialdamnation.com/guide/weapons/rapier_nebula.gif"/>
        <xdr:cNvPicPr>
          <a:picLocks noChangeAspect="1" noChangeArrowheads="1"/>
        </xdr:cNvPicPr>
      </xdr:nvPicPr>
      <xdr:blipFill>
        <a:blip xmlns:r="http://schemas.openxmlformats.org/officeDocument/2006/relationships" r:embed="rId121" cstate="print"/>
        <a:srcRect/>
        <a:stretch>
          <a:fillRect/>
        </a:stretch>
      </xdr:blipFill>
      <xdr:spPr bwMode="auto">
        <a:xfrm>
          <a:off x="6791325" y="53530500"/>
          <a:ext cx="285750" cy="190500"/>
        </a:xfrm>
        <a:prstGeom prst="rect">
          <a:avLst/>
        </a:prstGeom>
        <a:noFill/>
      </xdr:spPr>
    </xdr:pic>
    <xdr:clientData/>
  </xdr:twoCellAnchor>
  <xdr:twoCellAnchor>
    <xdr:from>
      <xdr:col>8</xdr:col>
      <xdr:colOff>0</xdr:colOff>
      <xdr:row>282</xdr:row>
      <xdr:rowOff>0</xdr:rowOff>
    </xdr:from>
    <xdr:to>
      <xdr:col>8</xdr:col>
      <xdr:colOff>285750</xdr:colOff>
      <xdr:row>282</xdr:row>
      <xdr:rowOff>285750</xdr:rowOff>
    </xdr:to>
    <xdr:sp macro="" textlink="">
      <xdr:nvSpPr>
        <xdr:cNvPr id="125" name="Picture 12204" descr="http://jumesyn.celestialdamnation.com/guide/weapons/rapier_ark.gif"/>
        <xdr:cNvSpPr>
          <a:spLocks noChangeAspect="1" noChangeArrowheads="1"/>
        </xdr:cNvSpPr>
      </xdr:nvSpPr>
      <xdr:spPr bwMode="auto">
        <a:xfrm>
          <a:off x="6791325" y="53721000"/>
          <a:ext cx="285750" cy="190500"/>
        </a:xfrm>
        <a:prstGeom prst="rect">
          <a:avLst/>
        </a:prstGeom>
        <a:noFill/>
      </xdr:spPr>
    </xdr:sp>
    <xdr:clientData/>
  </xdr:twoCellAnchor>
  <xdr:twoCellAnchor>
    <xdr:from>
      <xdr:col>8</xdr:col>
      <xdr:colOff>0</xdr:colOff>
      <xdr:row>289</xdr:row>
      <xdr:rowOff>0</xdr:rowOff>
    </xdr:from>
    <xdr:to>
      <xdr:col>8</xdr:col>
      <xdr:colOff>285750</xdr:colOff>
      <xdr:row>290</xdr:row>
      <xdr:rowOff>19050</xdr:rowOff>
    </xdr:to>
    <xdr:pic>
      <xdr:nvPicPr>
        <xdr:cNvPr id="126" name="Picture 12205" descr="http://jumesyn.celestialdamnation.com/guide/weapons/rod_timber.gif"/>
        <xdr:cNvPicPr>
          <a:picLocks noChangeAspect="1" noChangeArrowheads="1"/>
        </xdr:cNvPicPr>
      </xdr:nvPicPr>
      <xdr:blipFill>
        <a:blip xmlns:r="http://schemas.openxmlformats.org/officeDocument/2006/relationships" r:embed="rId122" cstate="print"/>
        <a:srcRect/>
        <a:stretch>
          <a:fillRect/>
        </a:stretch>
      </xdr:blipFill>
      <xdr:spPr bwMode="auto">
        <a:xfrm>
          <a:off x="6791325" y="55054500"/>
          <a:ext cx="285750" cy="209550"/>
        </a:xfrm>
        <a:prstGeom prst="rect">
          <a:avLst/>
        </a:prstGeom>
        <a:noFill/>
      </xdr:spPr>
    </xdr:pic>
    <xdr:clientData/>
  </xdr:twoCellAnchor>
  <xdr:twoCellAnchor>
    <xdr:from>
      <xdr:col>8</xdr:col>
      <xdr:colOff>0</xdr:colOff>
      <xdr:row>291</xdr:row>
      <xdr:rowOff>0</xdr:rowOff>
    </xdr:from>
    <xdr:to>
      <xdr:col>8</xdr:col>
      <xdr:colOff>285750</xdr:colOff>
      <xdr:row>292</xdr:row>
      <xdr:rowOff>19050</xdr:rowOff>
    </xdr:to>
    <xdr:pic>
      <xdr:nvPicPr>
        <xdr:cNvPr id="127" name="Picture 12206" descr="http://jumesyn.celestialdamnation.com/guide/weapons/rod_bronze.gif"/>
        <xdr:cNvPicPr>
          <a:picLocks noChangeAspect="1" noChangeArrowheads="1"/>
        </xdr:cNvPicPr>
      </xdr:nvPicPr>
      <xdr:blipFill>
        <a:blip xmlns:r="http://schemas.openxmlformats.org/officeDocument/2006/relationships" r:embed="rId123" cstate="print"/>
        <a:srcRect/>
        <a:stretch>
          <a:fillRect/>
        </a:stretch>
      </xdr:blipFill>
      <xdr:spPr bwMode="auto">
        <a:xfrm>
          <a:off x="6791325" y="55435500"/>
          <a:ext cx="285750" cy="209550"/>
        </a:xfrm>
        <a:prstGeom prst="rect">
          <a:avLst/>
        </a:prstGeom>
        <a:noFill/>
      </xdr:spPr>
    </xdr:pic>
    <xdr:clientData/>
  </xdr:twoCellAnchor>
  <xdr:twoCellAnchor>
    <xdr:from>
      <xdr:col>8</xdr:col>
      <xdr:colOff>0</xdr:colOff>
      <xdr:row>292</xdr:row>
      <xdr:rowOff>0</xdr:rowOff>
    </xdr:from>
    <xdr:to>
      <xdr:col>8</xdr:col>
      <xdr:colOff>285750</xdr:colOff>
      <xdr:row>293</xdr:row>
      <xdr:rowOff>19050</xdr:rowOff>
    </xdr:to>
    <xdr:pic>
      <xdr:nvPicPr>
        <xdr:cNvPr id="128" name="Picture 12207" descr="http://jumesyn.celestialdamnation.com/guide/weapons/rod_talisman.gif"/>
        <xdr:cNvPicPr>
          <a:picLocks noChangeAspect="1" noChangeArrowheads="1"/>
        </xdr:cNvPicPr>
      </xdr:nvPicPr>
      <xdr:blipFill>
        <a:blip xmlns:r="http://schemas.openxmlformats.org/officeDocument/2006/relationships" r:embed="rId124" cstate="print"/>
        <a:srcRect/>
        <a:stretch>
          <a:fillRect/>
        </a:stretch>
      </xdr:blipFill>
      <xdr:spPr bwMode="auto">
        <a:xfrm>
          <a:off x="6791325" y="55626000"/>
          <a:ext cx="285750" cy="209550"/>
        </a:xfrm>
        <a:prstGeom prst="rect">
          <a:avLst/>
        </a:prstGeom>
        <a:noFill/>
      </xdr:spPr>
    </xdr:pic>
    <xdr:clientData/>
  </xdr:twoCellAnchor>
  <xdr:twoCellAnchor>
    <xdr:from>
      <xdr:col>8</xdr:col>
      <xdr:colOff>0</xdr:colOff>
      <xdr:row>293</xdr:row>
      <xdr:rowOff>0</xdr:rowOff>
    </xdr:from>
    <xdr:to>
      <xdr:col>8</xdr:col>
      <xdr:colOff>285750</xdr:colOff>
      <xdr:row>293</xdr:row>
      <xdr:rowOff>285750</xdr:rowOff>
    </xdr:to>
    <xdr:pic>
      <xdr:nvPicPr>
        <xdr:cNvPr id="129" name="Picture 12208" descr="http://jumesyn.celestialdamnation.com/guide/weapons/rod_of_the_earth.gif"/>
        <xdr:cNvPicPr>
          <a:picLocks noChangeAspect="1" noChangeArrowheads="1"/>
        </xdr:cNvPicPr>
      </xdr:nvPicPr>
      <xdr:blipFill>
        <a:blip xmlns:r="http://schemas.openxmlformats.org/officeDocument/2006/relationships" r:embed="rId125" cstate="print"/>
        <a:srcRect/>
        <a:stretch>
          <a:fillRect/>
        </a:stretch>
      </xdr:blipFill>
      <xdr:spPr bwMode="auto">
        <a:xfrm>
          <a:off x="6791325" y="55816500"/>
          <a:ext cx="285750" cy="190500"/>
        </a:xfrm>
        <a:prstGeom prst="rect">
          <a:avLst/>
        </a:prstGeom>
        <a:noFill/>
      </xdr:spPr>
    </xdr:pic>
    <xdr:clientData/>
  </xdr:twoCellAnchor>
  <xdr:twoCellAnchor>
    <xdr:from>
      <xdr:col>8</xdr:col>
      <xdr:colOff>0</xdr:colOff>
      <xdr:row>294</xdr:row>
      <xdr:rowOff>0</xdr:rowOff>
    </xdr:from>
    <xdr:to>
      <xdr:col>8</xdr:col>
      <xdr:colOff>285750</xdr:colOff>
      <xdr:row>295</xdr:row>
      <xdr:rowOff>95250</xdr:rowOff>
    </xdr:to>
    <xdr:pic>
      <xdr:nvPicPr>
        <xdr:cNvPr id="130" name="Picture 12209" descr="http://jumesyn.celestialdamnation.com/guide/weapons/rod_maze.gif"/>
        <xdr:cNvPicPr>
          <a:picLocks noChangeAspect="1" noChangeArrowheads="1"/>
        </xdr:cNvPicPr>
      </xdr:nvPicPr>
      <xdr:blipFill>
        <a:blip xmlns:r="http://schemas.openxmlformats.org/officeDocument/2006/relationships" r:embed="rId126" cstate="print"/>
        <a:srcRect/>
        <a:stretch>
          <a:fillRect/>
        </a:stretch>
      </xdr:blipFill>
      <xdr:spPr bwMode="auto">
        <a:xfrm>
          <a:off x="6791325" y="56007000"/>
          <a:ext cx="285750" cy="285750"/>
        </a:xfrm>
        <a:prstGeom prst="rect">
          <a:avLst/>
        </a:prstGeom>
        <a:noFill/>
      </xdr:spPr>
    </xdr:pic>
    <xdr:clientData/>
  </xdr:twoCellAnchor>
  <xdr:twoCellAnchor>
    <xdr:from>
      <xdr:col>8</xdr:col>
      <xdr:colOff>0</xdr:colOff>
      <xdr:row>296</xdr:row>
      <xdr:rowOff>0</xdr:rowOff>
    </xdr:from>
    <xdr:to>
      <xdr:col>8</xdr:col>
      <xdr:colOff>285750</xdr:colOff>
      <xdr:row>296</xdr:row>
      <xdr:rowOff>285750</xdr:rowOff>
    </xdr:to>
    <xdr:pic>
      <xdr:nvPicPr>
        <xdr:cNvPr id="131" name="Picture 12210" descr="http://jumesyn.celestialdamnation.com/guide/weapons/rod_milky.gif"/>
        <xdr:cNvPicPr>
          <a:picLocks noChangeAspect="1" noChangeArrowheads="1"/>
        </xdr:cNvPicPr>
      </xdr:nvPicPr>
      <xdr:blipFill>
        <a:blip xmlns:r="http://schemas.openxmlformats.org/officeDocument/2006/relationships" r:embed="rId127" cstate="print"/>
        <a:srcRect/>
        <a:stretch>
          <a:fillRect/>
        </a:stretch>
      </xdr:blipFill>
      <xdr:spPr bwMode="auto">
        <a:xfrm>
          <a:off x="6791325" y="56388000"/>
          <a:ext cx="285750" cy="190500"/>
        </a:xfrm>
        <a:prstGeom prst="rect">
          <a:avLst/>
        </a:prstGeom>
        <a:noFill/>
      </xdr:spPr>
    </xdr:pic>
    <xdr:clientData/>
  </xdr:twoCellAnchor>
  <xdr:twoCellAnchor>
    <xdr:from>
      <xdr:col>8</xdr:col>
      <xdr:colOff>0</xdr:colOff>
      <xdr:row>298</xdr:row>
      <xdr:rowOff>0</xdr:rowOff>
    </xdr:from>
    <xdr:to>
      <xdr:col>8</xdr:col>
      <xdr:colOff>285750</xdr:colOff>
      <xdr:row>298</xdr:row>
      <xdr:rowOff>285750</xdr:rowOff>
    </xdr:to>
    <xdr:pic>
      <xdr:nvPicPr>
        <xdr:cNvPr id="132" name="Picture 12211" descr="http://jumesyn.celestialdamnation.com/guide/weapons/rod_alchemy.gif"/>
        <xdr:cNvPicPr>
          <a:picLocks noChangeAspect="1" noChangeArrowheads="1"/>
        </xdr:cNvPicPr>
      </xdr:nvPicPr>
      <xdr:blipFill>
        <a:blip xmlns:r="http://schemas.openxmlformats.org/officeDocument/2006/relationships" r:embed="rId128" cstate="print"/>
        <a:srcRect/>
        <a:stretch>
          <a:fillRect/>
        </a:stretch>
      </xdr:blipFill>
      <xdr:spPr bwMode="auto">
        <a:xfrm>
          <a:off x="6791325" y="56769000"/>
          <a:ext cx="285750" cy="190500"/>
        </a:xfrm>
        <a:prstGeom prst="rect">
          <a:avLst/>
        </a:prstGeom>
        <a:noFill/>
      </xdr:spPr>
    </xdr:pic>
    <xdr:clientData/>
  </xdr:twoCellAnchor>
  <xdr:twoCellAnchor>
    <xdr:from>
      <xdr:col>8</xdr:col>
      <xdr:colOff>0</xdr:colOff>
      <xdr:row>300</xdr:row>
      <xdr:rowOff>0</xdr:rowOff>
    </xdr:from>
    <xdr:to>
      <xdr:col>8</xdr:col>
      <xdr:colOff>285750</xdr:colOff>
      <xdr:row>300</xdr:row>
      <xdr:rowOff>285750</xdr:rowOff>
    </xdr:to>
    <xdr:pic>
      <xdr:nvPicPr>
        <xdr:cNvPr id="133" name="Picture 12212" descr="http://jumesyn.celestialdamnation.com/guide/weapons/rod_dragon.gif"/>
        <xdr:cNvPicPr>
          <a:picLocks noChangeAspect="1" noChangeArrowheads="1"/>
        </xdr:cNvPicPr>
      </xdr:nvPicPr>
      <xdr:blipFill>
        <a:blip xmlns:r="http://schemas.openxmlformats.org/officeDocument/2006/relationships" r:embed="rId129" cstate="print"/>
        <a:srcRect/>
        <a:stretch>
          <a:fillRect/>
        </a:stretch>
      </xdr:blipFill>
      <xdr:spPr bwMode="auto">
        <a:xfrm>
          <a:off x="6791325" y="57150000"/>
          <a:ext cx="285750" cy="190500"/>
        </a:xfrm>
        <a:prstGeom prst="rect">
          <a:avLst/>
        </a:prstGeom>
        <a:noFill/>
      </xdr:spPr>
    </xdr:pic>
    <xdr:clientData/>
  </xdr:twoCellAnchor>
  <xdr:twoCellAnchor>
    <xdr:from>
      <xdr:col>8</xdr:col>
      <xdr:colOff>0</xdr:colOff>
      <xdr:row>302</xdr:row>
      <xdr:rowOff>0</xdr:rowOff>
    </xdr:from>
    <xdr:to>
      <xdr:col>8</xdr:col>
      <xdr:colOff>285750</xdr:colOff>
      <xdr:row>302</xdr:row>
      <xdr:rowOff>285750</xdr:rowOff>
    </xdr:to>
    <xdr:pic>
      <xdr:nvPicPr>
        <xdr:cNvPr id="134" name="Picture 12213" descr="http://jumesyn.celestialdamnation.com/guide/weapons/rod_crystal.gif"/>
        <xdr:cNvPicPr>
          <a:picLocks noChangeAspect="1" noChangeArrowheads="1"/>
        </xdr:cNvPicPr>
      </xdr:nvPicPr>
      <xdr:blipFill>
        <a:blip xmlns:r="http://schemas.openxmlformats.org/officeDocument/2006/relationships" r:embed="rId130" cstate="print"/>
        <a:srcRect/>
        <a:stretch>
          <a:fillRect/>
        </a:stretch>
      </xdr:blipFill>
      <xdr:spPr bwMode="auto">
        <a:xfrm>
          <a:off x="6791325" y="57531000"/>
          <a:ext cx="285750" cy="190500"/>
        </a:xfrm>
        <a:prstGeom prst="rect">
          <a:avLst/>
        </a:prstGeom>
        <a:noFill/>
      </xdr:spPr>
    </xdr:pic>
    <xdr:clientData/>
  </xdr:twoCellAnchor>
  <xdr:twoCellAnchor>
    <xdr:from>
      <xdr:col>8</xdr:col>
      <xdr:colOff>0</xdr:colOff>
      <xdr:row>304</xdr:row>
      <xdr:rowOff>0</xdr:rowOff>
    </xdr:from>
    <xdr:to>
      <xdr:col>8</xdr:col>
      <xdr:colOff>285750</xdr:colOff>
      <xdr:row>304</xdr:row>
      <xdr:rowOff>285750</xdr:rowOff>
    </xdr:to>
    <xdr:pic>
      <xdr:nvPicPr>
        <xdr:cNvPr id="135" name="Picture 12214" descr="http://jumesyn.celestialdamnation.com/guide/weapons/rod_demon.gif"/>
        <xdr:cNvPicPr>
          <a:picLocks noChangeAspect="1" noChangeArrowheads="1"/>
        </xdr:cNvPicPr>
      </xdr:nvPicPr>
      <xdr:blipFill>
        <a:blip xmlns:r="http://schemas.openxmlformats.org/officeDocument/2006/relationships" r:embed="rId131" cstate="print"/>
        <a:srcRect/>
        <a:stretch>
          <a:fillRect/>
        </a:stretch>
      </xdr:blipFill>
      <xdr:spPr bwMode="auto">
        <a:xfrm>
          <a:off x="6791325" y="57912000"/>
          <a:ext cx="285750" cy="190500"/>
        </a:xfrm>
        <a:prstGeom prst="rect">
          <a:avLst/>
        </a:prstGeom>
        <a:noFill/>
      </xdr:spPr>
    </xdr:pic>
    <xdr:clientData/>
  </xdr:twoCellAnchor>
  <xdr:twoCellAnchor>
    <xdr:from>
      <xdr:col>8</xdr:col>
      <xdr:colOff>0</xdr:colOff>
      <xdr:row>305</xdr:row>
      <xdr:rowOff>0</xdr:rowOff>
    </xdr:from>
    <xdr:to>
      <xdr:col>8</xdr:col>
      <xdr:colOff>285750</xdr:colOff>
      <xdr:row>305</xdr:row>
      <xdr:rowOff>285750</xdr:rowOff>
    </xdr:to>
    <xdr:pic>
      <xdr:nvPicPr>
        <xdr:cNvPr id="136" name="Picture 12215" descr="http://jumesyn.celestialdamnation.com/guide/weapons/rod_of_wail.gif"/>
        <xdr:cNvPicPr>
          <a:picLocks noChangeAspect="1" noChangeArrowheads="1"/>
        </xdr:cNvPicPr>
      </xdr:nvPicPr>
      <xdr:blipFill>
        <a:blip xmlns:r="http://schemas.openxmlformats.org/officeDocument/2006/relationships" r:embed="rId132" cstate="print"/>
        <a:srcRect/>
        <a:stretch>
          <a:fillRect/>
        </a:stretch>
      </xdr:blipFill>
      <xdr:spPr bwMode="auto">
        <a:xfrm>
          <a:off x="6791325" y="58102500"/>
          <a:ext cx="285750" cy="190500"/>
        </a:xfrm>
        <a:prstGeom prst="rect">
          <a:avLst/>
        </a:prstGeom>
        <a:noFill/>
      </xdr:spPr>
    </xdr:pic>
    <xdr:clientData/>
  </xdr:twoCellAnchor>
  <xdr:twoCellAnchor>
    <xdr:from>
      <xdr:col>8</xdr:col>
      <xdr:colOff>0</xdr:colOff>
      <xdr:row>314</xdr:row>
      <xdr:rowOff>0</xdr:rowOff>
    </xdr:from>
    <xdr:to>
      <xdr:col>8</xdr:col>
      <xdr:colOff>285750</xdr:colOff>
      <xdr:row>315</xdr:row>
      <xdr:rowOff>19050</xdr:rowOff>
    </xdr:to>
    <xdr:pic>
      <xdr:nvPicPr>
        <xdr:cNvPr id="137" name="Picture 1" descr="http://jumesyn.celestialdamnation.com/guide/weapons/shell_assault.gif"/>
        <xdr:cNvPicPr>
          <a:picLocks noChangeAspect="1" noChangeArrowheads="1"/>
        </xdr:cNvPicPr>
      </xdr:nvPicPr>
      <xdr:blipFill>
        <a:blip xmlns:r="http://schemas.openxmlformats.org/officeDocument/2006/relationships" r:embed="rId133" cstate="print"/>
        <a:srcRect/>
        <a:stretch>
          <a:fillRect/>
        </a:stretch>
      </xdr:blipFill>
      <xdr:spPr bwMode="auto">
        <a:xfrm>
          <a:off x="6791325" y="59817000"/>
          <a:ext cx="285750" cy="209550"/>
        </a:xfrm>
        <a:prstGeom prst="rect">
          <a:avLst/>
        </a:prstGeom>
        <a:noFill/>
      </xdr:spPr>
    </xdr:pic>
    <xdr:clientData/>
  </xdr:twoCellAnchor>
  <xdr:twoCellAnchor>
    <xdr:from>
      <xdr:col>8</xdr:col>
      <xdr:colOff>0</xdr:colOff>
      <xdr:row>316</xdr:row>
      <xdr:rowOff>0</xdr:rowOff>
    </xdr:from>
    <xdr:to>
      <xdr:col>8</xdr:col>
      <xdr:colOff>285750</xdr:colOff>
      <xdr:row>317</xdr:row>
      <xdr:rowOff>19050</xdr:rowOff>
    </xdr:to>
    <xdr:pic>
      <xdr:nvPicPr>
        <xdr:cNvPr id="138" name="Picture 2" descr="http://jumesyn.celestialdamnation.com/guide/weapons/shell_great.gif"/>
        <xdr:cNvPicPr>
          <a:picLocks noChangeAspect="1" noChangeArrowheads="1"/>
        </xdr:cNvPicPr>
      </xdr:nvPicPr>
      <xdr:blipFill>
        <a:blip xmlns:r="http://schemas.openxmlformats.org/officeDocument/2006/relationships" r:embed="rId134" cstate="print"/>
        <a:srcRect/>
        <a:stretch>
          <a:fillRect/>
        </a:stretch>
      </xdr:blipFill>
      <xdr:spPr bwMode="auto">
        <a:xfrm>
          <a:off x="6791325" y="60198000"/>
          <a:ext cx="285750" cy="209550"/>
        </a:xfrm>
        <a:prstGeom prst="rect">
          <a:avLst/>
        </a:prstGeom>
        <a:noFill/>
      </xdr:spPr>
    </xdr:pic>
    <xdr:clientData/>
  </xdr:twoCellAnchor>
  <xdr:twoCellAnchor>
    <xdr:from>
      <xdr:col>8</xdr:col>
      <xdr:colOff>0</xdr:colOff>
      <xdr:row>318</xdr:row>
      <xdr:rowOff>0</xdr:rowOff>
    </xdr:from>
    <xdr:to>
      <xdr:col>8</xdr:col>
      <xdr:colOff>285750</xdr:colOff>
      <xdr:row>319</xdr:row>
      <xdr:rowOff>19050</xdr:rowOff>
    </xdr:to>
    <xdr:pic>
      <xdr:nvPicPr>
        <xdr:cNvPr id="139" name="Picture 3" descr="http://jumesyn.celestialdamnation.com/guide/weapons/shell_buster_shot.gif"/>
        <xdr:cNvPicPr>
          <a:picLocks noChangeAspect="1" noChangeArrowheads="1"/>
        </xdr:cNvPicPr>
      </xdr:nvPicPr>
      <xdr:blipFill>
        <a:blip xmlns:r="http://schemas.openxmlformats.org/officeDocument/2006/relationships" r:embed="rId135" cstate="print"/>
        <a:srcRect/>
        <a:stretch>
          <a:fillRect/>
        </a:stretch>
      </xdr:blipFill>
      <xdr:spPr bwMode="auto">
        <a:xfrm>
          <a:off x="6791325" y="60579000"/>
          <a:ext cx="285750" cy="209550"/>
        </a:xfrm>
        <a:prstGeom prst="rect">
          <a:avLst/>
        </a:prstGeom>
        <a:noFill/>
      </xdr:spPr>
    </xdr:pic>
    <xdr:clientData/>
  </xdr:twoCellAnchor>
  <xdr:twoCellAnchor>
    <xdr:from>
      <xdr:col>8</xdr:col>
      <xdr:colOff>0</xdr:colOff>
      <xdr:row>320</xdr:row>
      <xdr:rowOff>0</xdr:rowOff>
    </xdr:from>
    <xdr:to>
      <xdr:col>8</xdr:col>
      <xdr:colOff>285750</xdr:colOff>
      <xdr:row>321</xdr:row>
      <xdr:rowOff>19050</xdr:rowOff>
    </xdr:to>
    <xdr:pic>
      <xdr:nvPicPr>
        <xdr:cNvPr id="140" name="Picture 4" descr="http://jumesyn.celestialdamnation.com/guide/weapons/shell_magnum.gif"/>
        <xdr:cNvPicPr>
          <a:picLocks noChangeAspect="1" noChangeArrowheads="1"/>
        </xdr:cNvPicPr>
      </xdr:nvPicPr>
      <xdr:blipFill>
        <a:blip xmlns:r="http://schemas.openxmlformats.org/officeDocument/2006/relationships" r:embed="rId136" cstate="print"/>
        <a:srcRect/>
        <a:stretch>
          <a:fillRect/>
        </a:stretch>
      </xdr:blipFill>
      <xdr:spPr bwMode="auto">
        <a:xfrm>
          <a:off x="6791325" y="60960000"/>
          <a:ext cx="285750" cy="209550"/>
        </a:xfrm>
        <a:prstGeom prst="rect">
          <a:avLst/>
        </a:prstGeom>
        <a:noFill/>
      </xdr:spPr>
    </xdr:pic>
    <xdr:clientData/>
  </xdr:twoCellAnchor>
  <xdr:twoCellAnchor>
    <xdr:from>
      <xdr:col>8</xdr:col>
      <xdr:colOff>0</xdr:colOff>
      <xdr:row>322</xdr:row>
      <xdr:rowOff>0</xdr:rowOff>
    </xdr:from>
    <xdr:to>
      <xdr:col>8</xdr:col>
      <xdr:colOff>285750</xdr:colOff>
      <xdr:row>323</xdr:row>
      <xdr:rowOff>19050</xdr:rowOff>
    </xdr:to>
    <xdr:pic>
      <xdr:nvPicPr>
        <xdr:cNvPr id="141" name="Picture 5" descr="http://jumesyn.celestialdamnation.com/guide/weapons/shell_storm_shot.gif"/>
        <xdr:cNvPicPr>
          <a:picLocks noChangeAspect="1" noChangeArrowheads="1"/>
        </xdr:cNvPicPr>
      </xdr:nvPicPr>
      <xdr:blipFill>
        <a:blip xmlns:r="http://schemas.openxmlformats.org/officeDocument/2006/relationships" r:embed="rId137" cstate="print"/>
        <a:srcRect/>
        <a:stretch>
          <a:fillRect/>
        </a:stretch>
      </xdr:blipFill>
      <xdr:spPr bwMode="auto">
        <a:xfrm>
          <a:off x="6791325" y="61341000"/>
          <a:ext cx="285750" cy="209550"/>
        </a:xfrm>
        <a:prstGeom prst="rect">
          <a:avLst/>
        </a:prstGeom>
        <a:noFill/>
      </xdr:spPr>
    </xdr:pic>
    <xdr:clientData/>
  </xdr:twoCellAnchor>
  <xdr:twoCellAnchor>
    <xdr:from>
      <xdr:col>8</xdr:col>
      <xdr:colOff>0</xdr:colOff>
      <xdr:row>324</xdr:row>
      <xdr:rowOff>0</xdr:rowOff>
    </xdr:from>
    <xdr:to>
      <xdr:col>8</xdr:col>
      <xdr:colOff>285750</xdr:colOff>
      <xdr:row>325</xdr:row>
      <xdr:rowOff>19050</xdr:rowOff>
    </xdr:to>
    <xdr:pic>
      <xdr:nvPicPr>
        <xdr:cNvPr id="142" name="Picture 6" descr="http://jumesyn.celestialdamnation.com/guide/weapons/shell_meteo_shot.gif"/>
        <xdr:cNvPicPr>
          <a:picLocks noChangeAspect="1" noChangeArrowheads="1"/>
        </xdr:cNvPicPr>
      </xdr:nvPicPr>
      <xdr:blipFill>
        <a:blip xmlns:r="http://schemas.openxmlformats.org/officeDocument/2006/relationships" r:embed="rId138" cstate="print"/>
        <a:srcRect/>
        <a:stretch>
          <a:fillRect/>
        </a:stretch>
      </xdr:blipFill>
      <xdr:spPr bwMode="auto">
        <a:xfrm>
          <a:off x="6791325" y="61722000"/>
          <a:ext cx="285750" cy="209550"/>
        </a:xfrm>
        <a:prstGeom prst="rect">
          <a:avLst/>
        </a:prstGeom>
        <a:noFill/>
      </xdr:spPr>
    </xdr:pic>
    <xdr:clientData/>
  </xdr:twoCellAnchor>
  <xdr:twoCellAnchor>
    <xdr:from>
      <xdr:col>8</xdr:col>
      <xdr:colOff>0</xdr:colOff>
      <xdr:row>326</xdr:row>
      <xdr:rowOff>0</xdr:rowOff>
    </xdr:from>
    <xdr:to>
      <xdr:col>8</xdr:col>
      <xdr:colOff>285750</xdr:colOff>
      <xdr:row>327</xdr:row>
      <xdr:rowOff>19050</xdr:rowOff>
    </xdr:to>
    <xdr:pic>
      <xdr:nvPicPr>
        <xdr:cNvPr id="143" name="Picture 7" descr="http://jumesyn.celestialdamnation.com/guide/weapons/shell_hot_rod.gif"/>
        <xdr:cNvPicPr>
          <a:picLocks noChangeAspect="1" noChangeArrowheads="1"/>
        </xdr:cNvPicPr>
      </xdr:nvPicPr>
      <xdr:blipFill>
        <a:blip xmlns:r="http://schemas.openxmlformats.org/officeDocument/2006/relationships" r:embed="rId139" cstate="print"/>
        <a:srcRect/>
        <a:stretch>
          <a:fillRect/>
        </a:stretch>
      </xdr:blipFill>
      <xdr:spPr bwMode="auto">
        <a:xfrm>
          <a:off x="6791325" y="62103000"/>
          <a:ext cx="285750" cy="209550"/>
        </a:xfrm>
        <a:prstGeom prst="rect">
          <a:avLst/>
        </a:prstGeom>
        <a:noFill/>
      </xdr:spPr>
    </xdr:pic>
    <xdr:clientData/>
  </xdr:twoCellAnchor>
  <xdr:twoCellAnchor>
    <xdr:from>
      <xdr:col>8</xdr:col>
      <xdr:colOff>0</xdr:colOff>
      <xdr:row>332</xdr:row>
      <xdr:rowOff>0</xdr:rowOff>
    </xdr:from>
    <xdr:to>
      <xdr:col>8</xdr:col>
      <xdr:colOff>285750</xdr:colOff>
      <xdr:row>333</xdr:row>
      <xdr:rowOff>19050</xdr:rowOff>
    </xdr:to>
    <xdr:pic>
      <xdr:nvPicPr>
        <xdr:cNvPr id="144" name="Picture 8" descr="http://jumesyn.celestialdamnation.com/guide/weapons/shuriken_cross.gif"/>
        <xdr:cNvPicPr>
          <a:picLocks noChangeAspect="1" noChangeArrowheads="1"/>
        </xdr:cNvPicPr>
      </xdr:nvPicPr>
      <xdr:blipFill>
        <a:blip xmlns:r="http://schemas.openxmlformats.org/officeDocument/2006/relationships" r:embed="rId140" cstate="print"/>
        <a:srcRect/>
        <a:stretch>
          <a:fillRect/>
        </a:stretch>
      </xdr:blipFill>
      <xdr:spPr bwMode="auto">
        <a:xfrm>
          <a:off x="6791325" y="63246000"/>
          <a:ext cx="285750" cy="209550"/>
        </a:xfrm>
        <a:prstGeom prst="rect">
          <a:avLst/>
        </a:prstGeom>
        <a:noFill/>
      </xdr:spPr>
    </xdr:pic>
    <xdr:clientData/>
  </xdr:twoCellAnchor>
  <xdr:twoCellAnchor>
    <xdr:from>
      <xdr:col>8</xdr:col>
      <xdr:colOff>0</xdr:colOff>
      <xdr:row>333</xdr:row>
      <xdr:rowOff>0</xdr:rowOff>
    </xdr:from>
    <xdr:to>
      <xdr:col>8</xdr:col>
      <xdr:colOff>285750</xdr:colOff>
      <xdr:row>334</xdr:row>
      <xdr:rowOff>19050</xdr:rowOff>
    </xdr:to>
    <xdr:pic>
      <xdr:nvPicPr>
        <xdr:cNvPr id="145" name="Picture 9" descr="http://jumesyn.celestialdamnation.com/guide/weapons/shuriken_buddhist.gif"/>
        <xdr:cNvPicPr>
          <a:picLocks noChangeAspect="1" noChangeArrowheads="1"/>
        </xdr:cNvPicPr>
      </xdr:nvPicPr>
      <xdr:blipFill>
        <a:blip xmlns:r="http://schemas.openxmlformats.org/officeDocument/2006/relationships" r:embed="rId141" cstate="print"/>
        <a:srcRect/>
        <a:stretch>
          <a:fillRect/>
        </a:stretch>
      </xdr:blipFill>
      <xdr:spPr bwMode="auto">
        <a:xfrm>
          <a:off x="6791325" y="63436500"/>
          <a:ext cx="285750" cy="209550"/>
        </a:xfrm>
        <a:prstGeom prst="rect">
          <a:avLst/>
        </a:prstGeom>
        <a:noFill/>
      </xdr:spPr>
    </xdr:pic>
    <xdr:clientData/>
  </xdr:twoCellAnchor>
  <xdr:twoCellAnchor>
    <xdr:from>
      <xdr:col>8</xdr:col>
      <xdr:colOff>0</xdr:colOff>
      <xdr:row>334</xdr:row>
      <xdr:rowOff>0</xdr:rowOff>
    </xdr:from>
    <xdr:to>
      <xdr:col>8</xdr:col>
      <xdr:colOff>285750</xdr:colOff>
      <xdr:row>335</xdr:row>
      <xdr:rowOff>19050</xdr:rowOff>
    </xdr:to>
    <xdr:pic>
      <xdr:nvPicPr>
        <xdr:cNvPr id="146" name="Picture 10" descr="http://jumesyn.celestialdamnation.com/guide/weapons/shuriken_heavy.gif"/>
        <xdr:cNvPicPr>
          <a:picLocks noChangeAspect="1" noChangeArrowheads="1"/>
        </xdr:cNvPicPr>
      </xdr:nvPicPr>
      <xdr:blipFill>
        <a:blip xmlns:r="http://schemas.openxmlformats.org/officeDocument/2006/relationships" r:embed="rId142" cstate="print"/>
        <a:srcRect/>
        <a:stretch>
          <a:fillRect/>
        </a:stretch>
      </xdr:blipFill>
      <xdr:spPr bwMode="auto">
        <a:xfrm>
          <a:off x="6791325" y="63627000"/>
          <a:ext cx="285750" cy="209550"/>
        </a:xfrm>
        <a:prstGeom prst="rect">
          <a:avLst/>
        </a:prstGeom>
        <a:noFill/>
      </xdr:spPr>
    </xdr:pic>
    <xdr:clientData/>
  </xdr:twoCellAnchor>
  <xdr:twoCellAnchor>
    <xdr:from>
      <xdr:col>8</xdr:col>
      <xdr:colOff>0</xdr:colOff>
      <xdr:row>336</xdr:row>
      <xdr:rowOff>0</xdr:rowOff>
    </xdr:from>
    <xdr:to>
      <xdr:col>8</xdr:col>
      <xdr:colOff>285750</xdr:colOff>
      <xdr:row>336</xdr:row>
      <xdr:rowOff>285750</xdr:rowOff>
    </xdr:to>
    <xdr:pic>
      <xdr:nvPicPr>
        <xdr:cNvPr id="147" name="Picture 11" descr="http://jumesyn.celestialdamnation.com/guide/weapons/shuriken_purple_thunder.gif"/>
        <xdr:cNvPicPr>
          <a:picLocks noChangeAspect="1" noChangeArrowheads="1"/>
        </xdr:cNvPicPr>
      </xdr:nvPicPr>
      <xdr:blipFill>
        <a:blip xmlns:r="http://schemas.openxmlformats.org/officeDocument/2006/relationships" r:embed="rId143" cstate="print"/>
        <a:srcRect/>
        <a:stretch>
          <a:fillRect/>
        </a:stretch>
      </xdr:blipFill>
      <xdr:spPr bwMode="auto">
        <a:xfrm>
          <a:off x="6791325" y="64008000"/>
          <a:ext cx="285750" cy="190500"/>
        </a:xfrm>
        <a:prstGeom prst="rect">
          <a:avLst/>
        </a:prstGeom>
        <a:noFill/>
      </xdr:spPr>
    </xdr:pic>
    <xdr:clientData/>
  </xdr:twoCellAnchor>
  <xdr:twoCellAnchor>
    <xdr:from>
      <xdr:col>8</xdr:col>
      <xdr:colOff>0</xdr:colOff>
      <xdr:row>338</xdr:row>
      <xdr:rowOff>0</xdr:rowOff>
    </xdr:from>
    <xdr:to>
      <xdr:col>8</xdr:col>
      <xdr:colOff>285750</xdr:colOff>
      <xdr:row>338</xdr:row>
      <xdr:rowOff>285750</xdr:rowOff>
    </xdr:to>
    <xdr:pic>
      <xdr:nvPicPr>
        <xdr:cNvPr id="148" name="Picture 12" descr="http://jumesyn.celestialdamnation.com/guide/weapons/shuriken_all_directions.gif"/>
        <xdr:cNvPicPr>
          <a:picLocks noChangeAspect="1" noChangeArrowheads="1"/>
        </xdr:cNvPicPr>
      </xdr:nvPicPr>
      <xdr:blipFill>
        <a:blip xmlns:r="http://schemas.openxmlformats.org/officeDocument/2006/relationships" r:embed="rId144" cstate="print"/>
        <a:srcRect/>
        <a:stretch>
          <a:fillRect/>
        </a:stretch>
      </xdr:blipFill>
      <xdr:spPr bwMode="auto">
        <a:xfrm>
          <a:off x="6791325" y="64389000"/>
          <a:ext cx="285750" cy="190500"/>
        </a:xfrm>
        <a:prstGeom prst="rect">
          <a:avLst/>
        </a:prstGeom>
        <a:noFill/>
      </xdr:spPr>
    </xdr:pic>
    <xdr:clientData/>
  </xdr:twoCellAnchor>
  <xdr:twoCellAnchor>
    <xdr:from>
      <xdr:col>8</xdr:col>
      <xdr:colOff>0</xdr:colOff>
      <xdr:row>340</xdr:row>
      <xdr:rowOff>0</xdr:rowOff>
    </xdr:from>
    <xdr:to>
      <xdr:col>8</xdr:col>
      <xdr:colOff>285750</xdr:colOff>
      <xdr:row>340</xdr:row>
      <xdr:rowOff>285750</xdr:rowOff>
    </xdr:to>
    <xdr:pic>
      <xdr:nvPicPr>
        <xdr:cNvPr id="149" name="Picture 13" descr="http://jumesyn.celestialdamnation.com/guide/weapons/shuriken_wind_demon.gif"/>
        <xdr:cNvPicPr>
          <a:picLocks noChangeAspect="1" noChangeArrowheads="1"/>
        </xdr:cNvPicPr>
      </xdr:nvPicPr>
      <xdr:blipFill>
        <a:blip xmlns:r="http://schemas.openxmlformats.org/officeDocument/2006/relationships" r:embed="rId145" cstate="print"/>
        <a:srcRect/>
        <a:stretch>
          <a:fillRect/>
        </a:stretch>
      </xdr:blipFill>
      <xdr:spPr bwMode="auto">
        <a:xfrm>
          <a:off x="6791325" y="64770000"/>
          <a:ext cx="285750" cy="190500"/>
        </a:xfrm>
        <a:prstGeom prst="rect">
          <a:avLst/>
        </a:prstGeom>
        <a:noFill/>
      </xdr:spPr>
    </xdr:pic>
    <xdr:clientData/>
  </xdr:twoCellAnchor>
  <xdr:twoCellAnchor>
    <xdr:from>
      <xdr:col>8</xdr:col>
      <xdr:colOff>0</xdr:colOff>
      <xdr:row>342</xdr:row>
      <xdr:rowOff>0</xdr:rowOff>
    </xdr:from>
    <xdr:to>
      <xdr:col>8</xdr:col>
      <xdr:colOff>285750</xdr:colOff>
      <xdr:row>343</xdr:row>
      <xdr:rowOff>19050</xdr:rowOff>
    </xdr:to>
    <xdr:pic>
      <xdr:nvPicPr>
        <xdr:cNvPr id="150" name="Picture 14" descr="http://jumesyn.celestialdamnation.com/guide/weapons/shuriken_dark_demon.gif"/>
        <xdr:cNvPicPr>
          <a:picLocks noChangeAspect="1" noChangeArrowheads="1"/>
        </xdr:cNvPicPr>
      </xdr:nvPicPr>
      <xdr:blipFill>
        <a:blip xmlns:r="http://schemas.openxmlformats.org/officeDocument/2006/relationships" r:embed="rId146" cstate="print"/>
        <a:srcRect/>
        <a:stretch>
          <a:fillRect/>
        </a:stretch>
      </xdr:blipFill>
      <xdr:spPr bwMode="auto">
        <a:xfrm>
          <a:off x="6791325" y="65151000"/>
          <a:ext cx="285750" cy="209550"/>
        </a:xfrm>
        <a:prstGeom prst="rect">
          <a:avLst/>
        </a:prstGeom>
        <a:noFill/>
      </xdr:spPr>
    </xdr:pic>
    <xdr:clientData/>
  </xdr:twoCellAnchor>
  <xdr:twoCellAnchor>
    <xdr:from>
      <xdr:col>8</xdr:col>
      <xdr:colOff>0</xdr:colOff>
      <xdr:row>349</xdr:row>
      <xdr:rowOff>0</xdr:rowOff>
    </xdr:from>
    <xdr:to>
      <xdr:col>8</xdr:col>
      <xdr:colOff>285750</xdr:colOff>
      <xdr:row>350</xdr:row>
      <xdr:rowOff>85725</xdr:rowOff>
    </xdr:to>
    <xdr:pic>
      <xdr:nvPicPr>
        <xdr:cNvPr id="151" name="Picture 15" descr="http://jumesyn.celestialdamnation.com/guide/weapons/spear_spear.gif"/>
        <xdr:cNvPicPr>
          <a:picLocks noChangeAspect="1" noChangeArrowheads="1"/>
        </xdr:cNvPicPr>
      </xdr:nvPicPr>
      <xdr:blipFill>
        <a:blip xmlns:r="http://schemas.openxmlformats.org/officeDocument/2006/relationships" r:embed="rId147" cstate="print"/>
        <a:srcRect/>
        <a:stretch>
          <a:fillRect/>
        </a:stretch>
      </xdr:blipFill>
      <xdr:spPr bwMode="auto">
        <a:xfrm>
          <a:off x="6791325" y="66484500"/>
          <a:ext cx="285750" cy="276225"/>
        </a:xfrm>
        <a:prstGeom prst="rect">
          <a:avLst/>
        </a:prstGeom>
        <a:noFill/>
      </xdr:spPr>
    </xdr:pic>
    <xdr:clientData/>
  </xdr:twoCellAnchor>
  <xdr:twoCellAnchor>
    <xdr:from>
      <xdr:col>8</xdr:col>
      <xdr:colOff>0</xdr:colOff>
      <xdr:row>350</xdr:row>
      <xdr:rowOff>0</xdr:rowOff>
    </xdr:from>
    <xdr:to>
      <xdr:col>8</xdr:col>
      <xdr:colOff>285750</xdr:colOff>
      <xdr:row>351</xdr:row>
      <xdr:rowOff>19050</xdr:rowOff>
    </xdr:to>
    <xdr:pic>
      <xdr:nvPicPr>
        <xdr:cNvPr id="152" name="Picture 16" descr="http://jumesyn.celestialdamnation.com/guide/weapons/spear_power.gif"/>
        <xdr:cNvPicPr>
          <a:picLocks noChangeAspect="1" noChangeArrowheads="1"/>
        </xdr:cNvPicPr>
      </xdr:nvPicPr>
      <xdr:blipFill>
        <a:blip xmlns:r="http://schemas.openxmlformats.org/officeDocument/2006/relationships" r:embed="rId148" cstate="print"/>
        <a:srcRect/>
        <a:stretch>
          <a:fillRect/>
        </a:stretch>
      </xdr:blipFill>
      <xdr:spPr bwMode="auto">
        <a:xfrm>
          <a:off x="6791325" y="66675000"/>
          <a:ext cx="285750" cy="209550"/>
        </a:xfrm>
        <a:prstGeom prst="rect">
          <a:avLst/>
        </a:prstGeom>
        <a:noFill/>
      </xdr:spPr>
    </xdr:pic>
    <xdr:clientData/>
  </xdr:twoCellAnchor>
  <xdr:twoCellAnchor>
    <xdr:from>
      <xdr:col>8</xdr:col>
      <xdr:colOff>0</xdr:colOff>
      <xdr:row>351</xdr:row>
      <xdr:rowOff>0</xdr:rowOff>
    </xdr:from>
    <xdr:to>
      <xdr:col>8</xdr:col>
      <xdr:colOff>285750</xdr:colOff>
      <xdr:row>352</xdr:row>
      <xdr:rowOff>19050</xdr:rowOff>
    </xdr:to>
    <xdr:pic>
      <xdr:nvPicPr>
        <xdr:cNvPr id="153" name="Picture 17" descr="http://jumesyn.celestialdamnation.com/guide/weapons/spear_battle.gif"/>
        <xdr:cNvPicPr>
          <a:picLocks noChangeAspect="1" noChangeArrowheads="1"/>
        </xdr:cNvPicPr>
      </xdr:nvPicPr>
      <xdr:blipFill>
        <a:blip xmlns:r="http://schemas.openxmlformats.org/officeDocument/2006/relationships" r:embed="rId149" cstate="print"/>
        <a:srcRect/>
        <a:stretch>
          <a:fillRect/>
        </a:stretch>
      </xdr:blipFill>
      <xdr:spPr bwMode="auto">
        <a:xfrm>
          <a:off x="6791325" y="66865500"/>
          <a:ext cx="285750" cy="209550"/>
        </a:xfrm>
        <a:prstGeom prst="rect">
          <a:avLst/>
        </a:prstGeom>
        <a:noFill/>
      </xdr:spPr>
    </xdr:pic>
    <xdr:clientData/>
  </xdr:twoCellAnchor>
  <xdr:twoCellAnchor>
    <xdr:from>
      <xdr:col>8</xdr:col>
      <xdr:colOff>0</xdr:colOff>
      <xdr:row>352</xdr:row>
      <xdr:rowOff>0</xdr:rowOff>
    </xdr:from>
    <xdr:to>
      <xdr:col>8</xdr:col>
      <xdr:colOff>285750</xdr:colOff>
      <xdr:row>353</xdr:row>
      <xdr:rowOff>19050</xdr:rowOff>
    </xdr:to>
    <xdr:pic>
      <xdr:nvPicPr>
        <xdr:cNvPr id="154" name="Picture 18" descr="http://jumesyn.celestialdamnation.com/guide/weapons/spear_silver.gif"/>
        <xdr:cNvPicPr>
          <a:picLocks noChangeAspect="1" noChangeArrowheads="1"/>
        </xdr:cNvPicPr>
      </xdr:nvPicPr>
      <xdr:blipFill>
        <a:blip xmlns:r="http://schemas.openxmlformats.org/officeDocument/2006/relationships" r:embed="rId150" cstate="print"/>
        <a:srcRect/>
        <a:stretch>
          <a:fillRect/>
        </a:stretch>
      </xdr:blipFill>
      <xdr:spPr bwMode="auto">
        <a:xfrm>
          <a:off x="6791325" y="67056000"/>
          <a:ext cx="285750" cy="209550"/>
        </a:xfrm>
        <a:prstGeom prst="rect">
          <a:avLst/>
        </a:prstGeom>
        <a:noFill/>
      </xdr:spPr>
    </xdr:pic>
    <xdr:clientData/>
  </xdr:twoCellAnchor>
  <xdr:twoCellAnchor>
    <xdr:from>
      <xdr:col>8</xdr:col>
      <xdr:colOff>0</xdr:colOff>
      <xdr:row>353</xdr:row>
      <xdr:rowOff>0</xdr:rowOff>
    </xdr:from>
    <xdr:to>
      <xdr:col>8</xdr:col>
      <xdr:colOff>285750</xdr:colOff>
      <xdr:row>354</xdr:row>
      <xdr:rowOff>19050</xdr:rowOff>
    </xdr:to>
    <xdr:pic>
      <xdr:nvPicPr>
        <xdr:cNvPr id="155" name="Picture 19" descr="http://jumesyn.celestialdamnation.com/guide/weapons/spear_counter.gif"/>
        <xdr:cNvPicPr>
          <a:picLocks noChangeAspect="1" noChangeArrowheads="1"/>
        </xdr:cNvPicPr>
      </xdr:nvPicPr>
      <xdr:blipFill>
        <a:blip xmlns:r="http://schemas.openxmlformats.org/officeDocument/2006/relationships" r:embed="rId151" cstate="print"/>
        <a:srcRect/>
        <a:stretch>
          <a:fillRect/>
        </a:stretch>
      </xdr:blipFill>
      <xdr:spPr bwMode="auto">
        <a:xfrm>
          <a:off x="6791325" y="67246500"/>
          <a:ext cx="285750" cy="209550"/>
        </a:xfrm>
        <a:prstGeom prst="rect">
          <a:avLst/>
        </a:prstGeom>
        <a:noFill/>
      </xdr:spPr>
    </xdr:pic>
    <xdr:clientData/>
  </xdr:twoCellAnchor>
  <xdr:twoCellAnchor>
    <xdr:from>
      <xdr:col>8</xdr:col>
      <xdr:colOff>0</xdr:colOff>
      <xdr:row>354</xdr:row>
      <xdr:rowOff>0</xdr:rowOff>
    </xdr:from>
    <xdr:to>
      <xdr:col>8</xdr:col>
      <xdr:colOff>285750</xdr:colOff>
      <xdr:row>355</xdr:row>
      <xdr:rowOff>19050</xdr:rowOff>
    </xdr:to>
    <xdr:pic>
      <xdr:nvPicPr>
        <xdr:cNvPr id="156" name="Picture 20" descr="http://jumesyn.celestialdamnation.com/guide/weapons/spear_lancelot.gif"/>
        <xdr:cNvPicPr>
          <a:picLocks noChangeAspect="1" noChangeArrowheads="1"/>
        </xdr:cNvPicPr>
      </xdr:nvPicPr>
      <xdr:blipFill>
        <a:blip xmlns:r="http://schemas.openxmlformats.org/officeDocument/2006/relationships" r:embed="rId152" cstate="print"/>
        <a:srcRect/>
        <a:stretch>
          <a:fillRect/>
        </a:stretch>
      </xdr:blipFill>
      <xdr:spPr bwMode="auto">
        <a:xfrm>
          <a:off x="6791325" y="67437000"/>
          <a:ext cx="285750" cy="209550"/>
        </a:xfrm>
        <a:prstGeom prst="rect">
          <a:avLst/>
        </a:prstGeom>
        <a:noFill/>
      </xdr:spPr>
    </xdr:pic>
    <xdr:clientData/>
  </xdr:twoCellAnchor>
  <xdr:twoCellAnchor>
    <xdr:from>
      <xdr:col>8</xdr:col>
      <xdr:colOff>0</xdr:colOff>
      <xdr:row>356</xdr:row>
      <xdr:rowOff>0</xdr:rowOff>
    </xdr:from>
    <xdr:to>
      <xdr:col>8</xdr:col>
      <xdr:colOff>285750</xdr:colOff>
      <xdr:row>356</xdr:row>
      <xdr:rowOff>285750</xdr:rowOff>
    </xdr:to>
    <xdr:pic>
      <xdr:nvPicPr>
        <xdr:cNvPr id="157" name="Picture 21" descr="http://jumesyn.celestialdamnation.com/guide/weapons/spear_mercurius.gif"/>
        <xdr:cNvPicPr>
          <a:picLocks noChangeAspect="1" noChangeArrowheads="1"/>
        </xdr:cNvPicPr>
      </xdr:nvPicPr>
      <xdr:blipFill>
        <a:blip xmlns:r="http://schemas.openxmlformats.org/officeDocument/2006/relationships" r:embed="rId153" cstate="print"/>
        <a:srcRect/>
        <a:stretch>
          <a:fillRect/>
        </a:stretch>
      </xdr:blipFill>
      <xdr:spPr bwMode="auto">
        <a:xfrm>
          <a:off x="6791325" y="67818000"/>
          <a:ext cx="285750" cy="190500"/>
        </a:xfrm>
        <a:prstGeom prst="rect">
          <a:avLst/>
        </a:prstGeom>
        <a:noFill/>
      </xdr:spPr>
    </xdr:pic>
    <xdr:clientData/>
  </xdr:twoCellAnchor>
  <xdr:twoCellAnchor>
    <xdr:from>
      <xdr:col>8</xdr:col>
      <xdr:colOff>0</xdr:colOff>
      <xdr:row>362</xdr:row>
      <xdr:rowOff>0</xdr:rowOff>
    </xdr:from>
    <xdr:to>
      <xdr:col>8</xdr:col>
      <xdr:colOff>285750</xdr:colOff>
      <xdr:row>363</xdr:row>
      <xdr:rowOff>19050</xdr:rowOff>
    </xdr:to>
    <xdr:pic>
      <xdr:nvPicPr>
        <xdr:cNvPr id="158" name="Picture 24" descr="http://jumesyn.celestialdamnation.com/guide/weapons/sword_steel.gif"/>
        <xdr:cNvPicPr>
          <a:picLocks noChangeAspect="1" noChangeArrowheads="1"/>
        </xdr:cNvPicPr>
      </xdr:nvPicPr>
      <xdr:blipFill>
        <a:blip xmlns:r="http://schemas.openxmlformats.org/officeDocument/2006/relationships" r:embed="rId154" cstate="print"/>
        <a:srcRect/>
        <a:stretch>
          <a:fillRect/>
        </a:stretch>
      </xdr:blipFill>
      <xdr:spPr bwMode="auto">
        <a:xfrm>
          <a:off x="6791325" y="68961000"/>
          <a:ext cx="285750" cy="209550"/>
        </a:xfrm>
        <a:prstGeom prst="rect">
          <a:avLst/>
        </a:prstGeom>
        <a:noFill/>
      </xdr:spPr>
    </xdr:pic>
    <xdr:clientData/>
  </xdr:twoCellAnchor>
  <xdr:twoCellAnchor>
    <xdr:from>
      <xdr:col>8</xdr:col>
      <xdr:colOff>0</xdr:colOff>
      <xdr:row>363</xdr:row>
      <xdr:rowOff>0</xdr:rowOff>
    </xdr:from>
    <xdr:to>
      <xdr:col>8</xdr:col>
      <xdr:colOff>285750</xdr:colOff>
      <xdr:row>364</xdr:row>
      <xdr:rowOff>19050</xdr:rowOff>
    </xdr:to>
    <xdr:pic>
      <xdr:nvPicPr>
        <xdr:cNvPr id="159" name="Picture 25" descr="http://jumesyn.celestialdamnation.com/guide/weapons/sword_broad.gif"/>
        <xdr:cNvPicPr>
          <a:picLocks noChangeAspect="1" noChangeArrowheads="1"/>
        </xdr:cNvPicPr>
      </xdr:nvPicPr>
      <xdr:blipFill>
        <a:blip xmlns:r="http://schemas.openxmlformats.org/officeDocument/2006/relationships" r:embed="rId155" cstate="print"/>
        <a:srcRect/>
        <a:stretch>
          <a:fillRect/>
        </a:stretch>
      </xdr:blipFill>
      <xdr:spPr bwMode="auto">
        <a:xfrm>
          <a:off x="6791325" y="69151500"/>
          <a:ext cx="285750" cy="209550"/>
        </a:xfrm>
        <a:prstGeom prst="rect">
          <a:avLst/>
        </a:prstGeom>
        <a:noFill/>
      </xdr:spPr>
    </xdr:pic>
    <xdr:clientData/>
  </xdr:twoCellAnchor>
  <xdr:twoCellAnchor>
    <xdr:from>
      <xdr:col>8</xdr:col>
      <xdr:colOff>0</xdr:colOff>
      <xdr:row>364</xdr:row>
      <xdr:rowOff>0</xdr:rowOff>
    </xdr:from>
    <xdr:to>
      <xdr:col>8</xdr:col>
      <xdr:colOff>285750</xdr:colOff>
      <xdr:row>365</xdr:row>
      <xdr:rowOff>19050</xdr:rowOff>
    </xdr:to>
    <xdr:pic>
      <xdr:nvPicPr>
        <xdr:cNvPr id="160" name="Picture 26" descr="http://jumesyn.celestialdamnation.com/guide/weapons/sword_bastard.gif"/>
        <xdr:cNvPicPr>
          <a:picLocks noChangeAspect="1" noChangeArrowheads="1"/>
        </xdr:cNvPicPr>
      </xdr:nvPicPr>
      <xdr:blipFill>
        <a:blip xmlns:r="http://schemas.openxmlformats.org/officeDocument/2006/relationships" r:embed="rId156" cstate="print"/>
        <a:srcRect/>
        <a:stretch>
          <a:fillRect/>
        </a:stretch>
      </xdr:blipFill>
      <xdr:spPr bwMode="auto">
        <a:xfrm>
          <a:off x="6791325" y="69342000"/>
          <a:ext cx="285750" cy="209550"/>
        </a:xfrm>
        <a:prstGeom prst="rect">
          <a:avLst/>
        </a:prstGeom>
        <a:noFill/>
      </xdr:spPr>
    </xdr:pic>
    <xdr:clientData/>
  </xdr:twoCellAnchor>
  <xdr:twoCellAnchor>
    <xdr:from>
      <xdr:col>8</xdr:col>
      <xdr:colOff>0</xdr:colOff>
      <xdr:row>365</xdr:row>
      <xdr:rowOff>0</xdr:rowOff>
    </xdr:from>
    <xdr:to>
      <xdr:col>8</xdr:col>
      <xdr:colOff>285750</xdr:colOff>
      <xdr:row>366</xdr:row>
      <xdr:rowOff>19050</xdr:rowOff>
    </xdr:to>
    <xdr:pic>
      <xdr:nvPicPr>
        <xdr:cNvPr id="161" name="Picture 27" descr="http://jumesyn.celestialdamnation.com/guide/weapons/sword_great.gif"/>
        <xdr:cNvPicPr>
          <a:picLocks noChangeAspect="1" noChangeArrowheads="1"/>
        </xdr:cNvPicPr>
      </xdr:nvPicPr>
      <xdr:blipFill>
        <a:blip xmlns:r="http://schemas.openxmlformats.org/officeDocument/2006/relationships" r:embed="rId157" cstate="print"/>
        <a:srcRect/>
        <a:stretch>
          <a:fillRect/>
        </a:stretch>
      </xdr:blipFill>
      <xdr:spPr bwMode="auto">
        <a:xfrm>
          <a:off x="6791325" y="69532500"/>
          <a:ext cx="285750" cy="209550"/>
        </a:xfrm>
        <a:prstGeom prst="rect">
          <a:avLst/>
        </a:prstGeom>
        <a:noFill/>
      </xdr:spPr>
    </xdr:pic>
    <xdr:clientData/>
  </xdr:twoCellAnchor>
  <xdr:twoCellAnchor>
    <xdr:from>
      <xdr:col>8</xdr:col>
      <xdr:colOff>0</xdr:colOff>
      <xdr:row>366</xdr:row>
      <xdr:rowOff>0</xdr:rowOff>
    </xdr:from>
    <xdr:to>
      <xdr:col>8</xdr:col>
      <xdr:colOff>285750</xdr:colOff>
      <xdr:row>367</xdr:row>
      <xdr:rowOff>19050</xdr:rowOff>
    </xdr:to>
    <xdr:pic>
      <xdr:nvPicPr>
        <xdr:cNvPr id="162" name="Picture 28" descr="http://jumesyn.celestialdamnation.com/guide/weapons/sword_counter.gif"/>
        <xdr:cNvPicPr>
          <a:picLocks noChangeAspect="1" noChangeArrowheads="1"/>
        </xdr:cNvPicPr>
      </xdr:nvPicPr>
      <xdr:blipFill>
        <a:blip xmlns:r="http://schemas.openxmlformats.org/officeDocument/2006/relationships" r:embed="rId158" cstate="print"/>
        <a:srcRect/>
        <a:stretch>
          <a:fillRect/>
        </a:stretch>
      </xdr:blipFill>
      <xdr:spPr bwMode="auto">
        <a:xfrm>
          <a:off x="6791325" y="69723000"/>
          <a:ext cx="285750" cy="209550"/>
        </a:xfrm>
        <a:prstGeom prst="rect">
          <a:avLst/>
        </a:prstGeom>
        <a:noFill/>
      </xdr:spPr>
    </xdr:pic>
    <xdr:clientData/>
  </xdr:twoCellAnchor>
  <xdr:twoCellAnchor>
    <xdr:from>
      <xdr:col>8</xdr:col>
      <xdr:colOff>0</xdr:colOff>
      <xdr:row>367</xdr:row>
      <xdr:rowOff>0</xdr:rowOff>
    </xdr:from>
    <xdr:to>
      <xdr:col>8</xdr:col>
      <xdr:colOff>285750</xdr:colOff>
      <xdr:row>367</xdr:row>
      <xdr:rowOff>285750</xdr:rowOff>
    </xdr:to>
    <xdr:pic>
      <xdr:nvPicPr>
        <xdr:cNvPr id="163" name="Picture 29" descr="http://jumesyn.celestialdamnation.com/guide/weapons/sword_of_shiva.gif"/>
        <xdr:cNvPicPr>
          <a:picLocks noChangeAspect="1" noChangeArrowheads="1"/>
        </xdr:cNvPicPr>
      </xdr:nvPicPr>
      <xdr:blipFill>
        <a:blip xmlns:r="http://schemas.openxmlformats.org/officeDocument/2006/relationships" r:embed="rId159" cstate="print"/>
        <a:srcRect/>
        <a:stretch>
          <a:fillRect/>
        </a:stretch>
      </xdr:blipFill>
      <xdr:spPr bwMode="auto">
        <a:xfrm>
          <a:off x="6791325" y="69913500"/>
          <a:ext cx="285750" cy="190500"/>
        </a:xfrm>
        <a:prstGeom prst="rect">
          <a:avLst/>
        </a:prstGeom>
        <a:noFill/>
      </xdr:spPr>
    </xdr:pic>
    <xdr:clientData/>
  </xdr:twoCellAnchor>
  <xdr:twoCellAnchor>
    <xdr:from>
      <xdr:col>8</xdr:col>
      <xdr:colOff>0</xdr:colOff>
      <xdr:row>369</xdr:row>
      <xdr:rowOff>0</xdr:rowOff>
    </xdr:from>
    <xdr:to>
      <xdr:col>8</xdr:col>
      <xdr:colOff>285750</xdr:colOff>
      <xdr:row>370</xdr:row>
      <xdr:rowOff>95250</xdr:rowOff>
    </xdr:to>
    <xdr:pic>
      <xdr:nvPicPr>
        <xdr:cNvPr id="164" name="Picture 30" descr="http://jumesyn.celestialdamnation.com/guide/weapons/sword_leviathan.gif"/>
        <xdr:cNvPicPr>
          <a:picLocks noChangeAspect="1" noChangeArrowheads="1"/>
        </xdr:cNvPicPr>
      </xdr:nvPicPr>
      <xdr:blipFill>
        <a:blip xmlns:r="http://schemas.openxmlformats.org/officeDocument/2006/relationships" r:embed="rId160" cstate="print"/>
        <a:srcRect/>
        <a:stretch>
          <a:fillRect/>
        </a:stretch>
      </xdr:blipFill>
      <xdr:spPr bwMode="auto">
        <a:xfrm>
          <a:off x="6791325" y="70294500"/>
          <a:ext cx="285750" cy="285750"/>
        </a:xfrm>
        <a:prstGeom prst="rect">
          <a:avLst/>
        </a:prstGeom>
        <a:noFill/>
      </xdr:spPr>
    </xdr:pic>
    <xdr:clientData/>
  </xdr:twoCellAnchor>
  <xdr:twoCellAnchor>
    <xdr:from>
      <xdr:col>8</xdr:col>
      <xdr:colOff>0</xdr:colOff>
      <xdr:row>371</xdr:row>
      <xdr:rowOff>0</xdr:rowOff>
    </xdr:from>
    <xdr:to>
      <xdr:col>8</xdr:col>
      <xdr:colOff>285750</xdr:colOff>
      <xdr:row>371</xdr:row>
      <xdr:rowOff>285750</xdr:rowOff>
    </xdr:to>
    <xdr:pic>
      <xdr:nvPicPr>
        <xdr:cNvPr id="165" name="Picture 31" descr="http://jumesyn.celestialdamnation.com/guide/weapons/sword_element.gif"/>
        <xdr:cNvPicPr>
          <a:picLocks noChangeAspect="1" noChangeArrowheads="1"/>
        </xdr:cNvPicPr>
      </xdr:nvPicPr>
      <xdr:blipFill>
        <a:blip xmlns:r="http://schemas.openxmlformats.org/officeDocument/2006/relationships" r:embed="rId161" cstate="print"/>
        <a:srcRect/>
        <a:stretch>
          <a:fillRect/>
        </a:stretch>
      </xdr:blipFill>
      <xdr:spPr bwMode="auto">
        <a:xfrm>
          <a:off x="6791325" y="70675500"/>
          <a:ext cx="285750" cy="190500"/>
        </a:xfrm>
        <a:prstGeom prst="rect">
          <a:avLst/>
        </a:prstGeom>
        <a:noFill/>
      </xdr:spPr>
    </xdr:pic>
    <xdr:clientData/>
  </xdr:twoCellAnchor>
  <xdr:twoCellAnchor>
    <xdr:from>
      <xdr:col>8</xdr:col>
      <xdr:colOff>0</xdr:colOff>
      <xdr:row>373</xdr:row>
      <xdr:rowOff>0</xdr:rowOff>
    </xdr:from>
    <xdr:to>
      <xdr:col>8</xdr:col>
      <xdr:colOff>285750</xdr:colOff>
      <xdr:row>373</xdr:row>
      <xdr:rowOff>285750</xdr:rowOff>
    </xdr:to>
    <xdr:pic>
      <xdr:nvPicPr>
        <xdr:cNvPr id="166" name="Picture 32" descr="http://jumesyn.celestialdamnation.com/guide/weapons/sword_justice.gif"/>
        <xdr:cNvPicPr>
          <a:picLocks noChangeAspect="1" noChangeArrowheads="1"/>
        </xdr:cNvPicPr>
      </xdr:nvPicPr>
      <xdr:blipFill>
        <a:blip xmlns:r="http://schemas.openxmlformats.org/officeDocument/2006/relationships" r:embed="rId162" cstate="print"/>
        <a:srcRect/>
        <a:stretch>
          <a:fillRect/>
        </a:stretch>
      </xdr:blipFill>
      <xdr:spPr bwMode="auto">
        <a:xfrm>
          <a:off x="6791325" y="71056500"/>
          <a:ext cx="285750" cy="190500"/>
        </a:xfrm>
        <a:prstGeom prst="rect">
          <a:avLst/>
        </a:prstGeom>
        <a:noFill/>
      </xdr:spPr>
    </xdr:pic>
    <xdr:clientData/>
  </xdr:twoCellAnchor>
  <xdr:twoCellAnchor>
    <xdr:from>
      <xdr:col>8</xdr:col>
      <xdr:colOff>0</xdr:colOff>
      <xdr:row>374</xdr:row>
      <xdr:rowOff>0</xdr:rowOff>
    </xdr:from>
    <xdr:to>
      <xdr:col>8</xdr:col>
      <xdr:colOff>285750</xdr:colOff>
      <xdr:row>374</xdr:row>
      <xdr:rowOff>285750</xdr:rowOff>
    </xdr:to>
    <xdr:pic>
      <xdr:nvPicPr>
        <xdr:cNvPr id="167" name="Picture 33" descr="http://jumesyn.celestialdamnation.com/guide/weapons/sword_darkside.gif"/>
        <xdr:cNvPicPr>
          <a:picLocks noChangeAspect="1" noChangeArrowheads="1"/>
        </xdr:cNvPicPr>
      </xdr:nvPicPr>
      <xdr:blipFill>
        <a:blip xmlns:r="http://schemas.openxmlformats.org/officeDocument/2006/relationships" r:embed="rId163" cstate="print"/>
        <a:srcRect/>
        <a:stretch>
          <a:fillRect/>
        </a:stretch>
      </xdr:blipFill>
      <xdr:spPr bwMode="auto">
        <a:xfrm>
          <a:off x="6791325" y="71247000"/>
          <a:ext cx="285750" cy="190500"/>
        </a:xfrm>
        <a:prstGeom prst="rect">
          <a:avLst/>
        </a:prstGeom>
        <a:noFill/>
      </xdr:spPr>
    </xdr:pic>
    <xdr:clientData/>
  </xdr:twoCellAnchor>
  <xdr:twoCellAnchor>
    <xdr:from>
      <xdr:col>8</xdr:col>
      <xdr:colOff>0</xdr:colOff>
      <xdr:row>376</xdr:row>
      <xdr:rowOff>0</xdr:rowOff>
    </xdr:from>
    <xdr:to>
      <xdr:col>8</xdr:col>
      <xdr:colOff>285750</xdr:colOff>
      <xdr:row>376</xdr:row>
      <xdr:rowOff>285750</xdr:rowOff>
    </xdr:to>
    <xdr:pic>
      <xdr:nvPicPr>
        <xdr:cNvPr id="168" name="Picture 34" descr="http://jumesyn.celestialdamnation.com/guide/weapons/sword_of_lord.gif"/>
        <xdr:cNvPicPr>
          <a:picLocks noChangeAspect="1" noChangeArrowheads="1"/>
        </xdr:cNvPicPr>
      </xdr:nvPicPr>
      <xdr:blipFill>
        <a:blip xmlns:r="http://schemas.openxmlformats.org/officeDocument/2006/relationships" r:embed="rId164" cstate="print"/>
        <a:srcRect/>
        <a:stretch>
          <a:fillRect/>
        </a:stretch>
      </xdr:blipFill>
      <xdr:spPr bwMode="auto">
        <a:xfrm>
          <a:off x="6791325" y="71628000"/>
          <a:ext cx="285750" cy="190500"/>
        </a:xfrm>
        <a:prstGeom prst="rect">
          <a:avLst/>
        </a:prstGeom>
        <a:noFill/>
      </xdr:spPr>
    </xdr:pic>
    <xdr:clientData/>
  </xdr:twoCellAnchor>
  <xdr:twoCellAnchor>
    <xdr:from>
      <xdr:col>8</xdr:col>
      <xdr:colOff>0</xdr:colOff>
      <xdr:row>377</xdr:row>
      <xdr:rowOff>0</xdr:rowOff>
    </xdr:from>
    <xdr:to>
      <xdr:col>8</xdr:col>
      <xdr:colOff>285750</xdr:colOff>
      <xdr:row>378</xdr:row>
      <xdr:rowOff>19050</xdr:rowOff>
    </xdr:to>
    <xdr:pic>
      <xdr:nvPicPr>
        <xdr:cNvPr id="169" name="Picture 35" descr="http://jumesyn.celestialdamnation.com/guide/weapons/sword_shining.gif"/>
        <xdr:cNvPicPr>
          <a:picLocks noChangeAspect="1" noChangeArrowheads="1"/>
        </xdr:cNvPicPr>
      </xdr:nvPicPr>
      <xdr:blipFill>
        <a:blip xmlns:r="http://schemas.openxmlformats.org/officeDocument/2006/relationships" r:embed="rId165" cstate="print"/>
        <a:srcRect/>
        <a:stretch>
          <a:fillRect/>
        </a:stretch>
      </xdr:blipFill>
      <xdr:spPr bwMode="auto">
        <a:xfrm>
          <a:off x="6791325" y="71818500"/>
          <a:ext cx="285750" cy="209550"/>
        </a:xfrm>
        <a:prstGeom prst="rect">
          <a:avLst/>
        </a:prstGeom>
        <a:noFill/>
      </xdr:spPr>
    </xdr:pic>
    <xdr:clientData/>
  </xdr:twoCellAnchor>
  <xdr:twoCellAnchor>
    <xdr:from>
      <xdr:col>8</xdr:col>
      <xdr:colOff>0</xdr:colOff>
      <xdr:row>385</xdr:row>
      <xdr:rowOff>0</xdr:rowOff>
    </xdr:from>
    <xdr:to>
      <xdr:col>8</xdr:col>
      <xdr:colOff>285750</xdr:colOff>
      <xdr:row>386</xdr:row>
      <xdr:rowOff>19050</xdr:rowOff>
    </xdr:to>
    <xdr:pic>
      <xdr:nvPicPr>
        <xdr:cNvPr id="170" name="Picture 38" descr="http://jumesyn.celestialdamnation.com/guide/weapons/tomahawk_tomahawk.gif"/>
        <xdr:cNvPicPr>
          <a:picLocks noChangeAspect="1" noChangeArrowheads="1"/>
        </xdr:cNvPicPr>
      </xdr:nvPicPr>
      <xdr:blipFill>
        <a:blip xmlns:r="http://schemas.openxmlformats.org/officeDocument/2006/relationships" r:embed="rId166" cstate="print"/>
        <a:srcRect/>
        <a:stretch>
          <a:fillRect/>
        </a:stretch>
      </xdr:blipFill>
      <xdr:spPr bwMode="auto">
        <a:xfrm>
          <a:off x="6791325" y="73342500"/>
          <a:ext cx="285750" cy="209550"/>
        </a:xfrm>
        <a:prstGeom prst="rect">
          <a:avLst/>
        </a:prstGeom>
        <a:noFill/>
      </xdr:spPr>
    </xdr:pic>
    <xdr:clientData/>
  </xdr:twoCellAnchor>
  <xdr:twoCellAnchor>
    <xdr:from>
      <xdr:col>8</xdr:col>
      <xdr:colOff>0</xdr:colOff>
      <xdr:row>387</xdr:row>
      <xdr:rowOff>0</xdr:rowOff>
    </xdr:from>
    <xdr:to>
      <xdr:col>8</xdr:col>
      <xdr:colOff>285750</xdr:colOff>
      <xdr:row>387</xdr:row>
      <xdr:rowOff>285750</xdr:rowOff>
    </xdr:to>
    <xdr:pic>
      <xdr:nvPicPr>
        <xdr:cNvPr id="171" name="Picture 39" descr="http://jumesyn.celestialdamnation.com/guide/weapons/tomahawk_power.gif"/>
        <xdr:cNvPicPr>
          <a:picLocks noChangeAspect="1" noChangeArrowheads="1"/>
        </xdr:cNvPicPr>
      </xdr:nvPicPr>
      <xdr:blipFill>
        <a:blip xmlns:r="http://schemas.openxmlformats.org/officeDocument/2006/relationships" r:embed="rId167" cstate="print"/>
        <a:srcRect/>
        <a:stretch>
          <a:fillRect/>
        </a:stretch>
      </xdr:blipFill>
      <xdr:spPr bwMode="auto">
        <a:xfrm>
          <a:off x="6791325" y="73723500"/>
          <a:ext cx="285750" cy="190500"/>
        </a:xfrm>
        <a:prstGeom prst="rect">
          <a:avLst/>
        </a:prstGeom>
        <a:noFill/>
      </xdr:spPr>
    </xdr:pic>
    <xdr:clientData/>
  </xdr:twoCellAnchor>
  <xdr:twoCellAnchor>
    <xdr:from>
      <xdr:col>8</xdr:col>
      <xdr:colOff>0</xdr:colOff>
      <xdr:row>389</xdr:row>
      <xdr:rowOff>0</xdr:rowOff>
    </xdr:from>
    <xdr:to>
      <xdr:col>8</xdr:col>
      <xdr:colOff>285750</xdr:colOff>
      <xdr:row>389</xdr:row>
      <xdr:rowOff>285750</xdr:rowOff>
    </xdr:to>
    <xdr:pic>
      <xdr:nvPicPr>
        <xdr:cNvPr id="172" name="Picture 40" descr="http://jumesyn.celestialdamnation.com/guide/weapons/tomahawk_battle.gif"/>
        <xdr:cNvPicPr>
          <a:picLocks noChangeAspect="1" noChangeArrowheads="1"/>
        </xdr:cNvPicPr>
      </xdr:nvPicPr>
      <xdr:blipFill>
        <a:blip xmlns:r="http://schemas.openxmlformats.org/officeDocument/2006/relationships" r:embed="rId168" cstate="print"/>
        <a:srcRect/>
        <a:stretch>
          <a:fillRect/>
        </a:stretch>
      </xdr:blipFill>
      <xdr:spPr bwMode="auto">
        <a:xfrm>
          <a:off x="6791325" y="74104500"/>
          <a:ext cx="285750" cy="190500"/>
        </a:xfrm>
        <a:prstGeom prst="rect">
          <a:avLst/>
        </a:prstGeom>
        <a:noFill/>
      </xdr:spPr>
    </xdr:pic>
    <xdr:clientData/>
  </xdr:twoCellAnchor>
  <xdr:twoCellAnchor>
    <xdr:from>
      <xdr:col>8</xdr:col>
      <xdr:colOff>0</xdr:colOff>
      <xdr:row>390</xdr:row>
      <xdr:rowOff>0</xdr:rowOff>
    </xdr:from>
    <xdr:to>
      <xdr:col>8</xdr:col>
      <xdr:colOff>285750</xdr:colOff>
      <xdr:row>390</xdr:row>
      <xdr:rowOff>285750</xdr:rowOff>
    </xdr:to>
    <xdr:pic>
      <xdr:nvPicPr>
        <xdr:cNvPr id="173" name="Picture 41" descr="http://jumesyn.celestialdamnation.com/guide/weapons/tomahawk_rune.gif"/>
        <xdr:cNvPicPr>
          <a:picLocks noChangeAspect="1" noChangeArrowheads="1"/>
        </xdr:cNvPicPr>
      </xdr:nvPicPr>
      <xdr:blipFill>
        <a:blip xmlns:r="http://schemas.openxmlformats.org/officeDocument/2006/relationships" r:embed="rId169" cstate="print"/>
        <a:srcRect/>
        <a:stretch>
          <a:fillRect/>
        </a:stretch>
      </xdr:blipFill>
      <xdr:spPr bwMode="auto">
        <a:xfrm>
          <a:off x="6791325" y="74295000"/>
          <a:ext cx="285750" cy="190500"/>
        </a:xfrm>
        <a:prstGeom prst="rect">
          <a:avLst/>
        </a:prstGeom>
        <a:noFill/>
      </xdr:spPr>
    </xdr:pic>
    <xdr:clientData/>
  </xdr:twoCellAnchor>
  <xdr:twoCellAnchor>
    <xdr:from>
      <xdr:col>8</xdr:col>
      <xdr:colOff>0</xdr:colOff>
      <xdr:row>392</xdr:row>
      <xdr:rowOff>0</xdr:rowOff>
    </xdr:from>
    <xdr:to>
      <xdr:col>8</xdr:col>
      <xdr:colOff>285750</xdr:colOff>
      <xdr:row>392</xdr:row>
      <xdr:rowOff>285750</xdr:rowOff>
    </xdr:to>
    <xdr:pic>
      <xdr:nvPicPr>
        <xdr:cNvPr id="174" name="Picture 42" descr="http://jumesyn.celestialdamnation.com/guide/weapons/tomahawk_killer.gif"/>
        <xdr:cNvPicPr>
          <a:picLocks noChangeAspect="1" noChangeArrowheads="1"/>
        </xdr:cNvPicPr>
      </xdr:nvPicPr>
      <xdr:blipFill>
        <a:blip xmlns:r="http://schemas.openxmlformats.org/officeDocument/2006/relationships" r:embed="rId170" cstate="print"/>
        <a:srcRect/>
        <a:stretch>
          <a:fillRect/>
        </a:stretch>
      </xdr:blipFill>
      <xdr:spPr bwMode="auto">
        <a:xfrm>
          <a:off x="6791325" y="74676000"/>
          <a:ext cx="285750" cy="190500"/>
        </a:xfrm>
        <a:prstGeom prst="rect">
          <a:avLst/>
        </a:prstGeom>
        <a:noFill/>
      </xdr:spPr>
    </xdr:pic>
    <xdr:clientData/>
  </xdr:twoCellAnchor>
  <xdr:twoCellAnchor>
    <xdr:from>
      <xdr:col>8</xdr:col>
      <xdr:colOff>0</xdr:colOff>
      <xdr:row>394</xdr:row>
      <xdr:rowOff>0</xdr:rowOff>
    </xdr:from>
    <xdr:to>
      <xdr:col>8</xdr:col>
      <xdr:colOff>285750</xdr:colOff>
      <xdr:row>394</xdr:row>
      <xdr:rowOff>285750</xdr:rowOff>
    </xdr:to>
    <xdr:pic>
      <xdr:nvPicPr>
        <xdr:cNvPr id="175" name="Picture 43" descr="http://jumesyn.celestialdamnation.com/guide/weapons/tomahawk_sky.gif"/>
        <xdr:cNvPicPr>
          <a:picLocks noChangeAspect="1" noChangeArrowheads="1"/>
        </xdr:cNvPicPr>
      </xdr:nvPicPr>
      <xdr:blipFill>
        <a:blip xmlns:r="http://schemas.openxmlformats.org/officeDocument/2006/relationships" r:embed="rId171" cstate="print"/>
        <a:srcRect/>
        <a:stretch>
          <a:fillRect/>
        </a:stretch>
      </xdr:blipFill>
      <xdr:spPr bwMode="auto">
        <a:xfrm>
          <a:off x="6791325" y="75057000"/>
          <a:ext cx="285750" cy="190500"/>
        </a:xfrm>
        <a:prstGeom prst="rect">
          <a:avLst/>
        </a:prstGeom>
        <a:noFill/>
      </xdr:spPr>
    </xdr:pic>
    <xdr:clientData/>
  </xdr:twoCellAnchor>
  <xdr:twoCellAnchor>
    <xdr:from>
      <xdr:col>8</xdr:col>
      <xdr:colOff>0</xdr:colOff>
      <xdr:row>396</xdr:row>
      <xdr:rowOff>0</xdr:rowOff>
    </xdr:from>
    <xdr:to>
      <xdr:col>8</xdr:col>
      <xdr:colOff>285750</xdr:colOff>
      <xdr:row>396</xdr:row>
      <xdr:rowOff>285750</xdr:rowOff>
    </xdr:to>
    <xdr:pic>
      <xdr:nvPicPr>
        <xdr:cNvPr id="176" name="Picture 44" descr="http://jumesyn.celestialdamnation.com/guide/weapons/tomahawk_flame.gif"/>
        <xdr:cNvPicPr>
          <a:picLocks noChangeAspect="1" noChangeArrowheads="1"/>
        </xdr:cNvPicPr>
      </xdr:nvPicPr>
      <xdr:blipFill>
        <a:blip xmlns:r="http://schemas.openxmlformats.org/officeDocument/2006/relationships" r:embed="rId172" cstate="print"/>
        <a:srcRect/>
        <a:stretch>
          <a:fillRect/>
        </a:stretch>
      </xdr:blipFill>
      <xdr:spPr bwMode="auto">
        <a:xfrm>
          <a:off x="6791325" y="75438000"/>
          <a:ext cx="285750" cy="190500"/>
        </a:xfrm>
        <a:prstGeom prst="rect">
          <a:avLst/>
        </a:prstGeom>
        <a:noFill/>
      </xdr:spPr>
    </xdr:pic>
    <xdr:clientData/>
  </xdr:twoCellAnchor>
  <xdr:twoCellAnchor>
    <xdr:from>
      <xdr:col>8</xdr:col>
      <xdr:colOff>0</xdr:colOff>
      <xdr:row>402</xdr:row>
      <xdr:rowOff>0</xdr:rowOff>
    </xdr:from>
    <xdr:to>
      <xdr:col>8</xdr:col>
      <xdr:colOff>285750</xdr:colOff>
      <xdr:row>403</xdr:row>
      <xdr:rowOff>19050</xdr:rowOff>
    </xdr:to>
    <xdr:pic>
      <xdr:nvPicPr>
        <xdr:cNvPr id="177" name="Picture 45" descr="http://jumesyn.celestialdamnation.com/guide/weapons/wand_small.gif"/>
        <xdr:cNvPicPr>
          <a:picLocks noChangeAspect="1" noChangeArrowheads="1"/>
        </xdr:cNvPicPr>
      </xdr:nvPicPr>
      <xdr:blipFill>
        <a:blip xmlns:r="http://schemas.openxmlformats.org/officeDocument/2006/relationships" r:embed="rId173" cstate="print"/>
        <a:srcRect/>
        <a:stretch>
          <a:fillRect/>
        </a:stretch>
      </xdr:blipFill>
      <xdr:spPr bwMode="auto">
        <a:xfrm>
          <a:off x="6791325" y="76581000"/>
          <a:ext cx="285750" cy="209550"/>
        </a:xfrm>
        <a:prstGeom prst="rect">
          <a:avLst/>
        </a:prstGeom>
        <a:noFill/>
      </xdr:spPr>
    </xdr:pic>
    <xdr:clientData/>
  </xdr:twoCellAnchor>
  <xdr:twoCellAnchor>
    <xdr:from>
      <xdr:col>8</xdr:col>
      <xdr:colOff>0</xdr:colOff>
      <xdr:row>403</xdr:row>
      <xdr:rowOff>0</xdr:rowOff>
    </xdr:from>
    <xdr:to>
      <xdr:col>8</xdr:col>
      <xdr:colOff>285750</xdr:colOff>
      <xdr:row>404</xdr:row>
      <xdr:rowOff>19050</xdr:rowOff>
    </xdr:to>
    <xdr:pic>
      <xdr:nvPicPr>
        <xdr:cNvPr id="178" name="Picture 46" descr="http://jumesyn.celestialdamnation.com/guide/weapons/wand_magic.gif"/>
        <xdr:cNvPicPr>
          <a:picLocks noChangeAspect="1" noChangeArrowheads="1"/>
        </xdr:cNvPicPr>
      </xdr:nvPicPr>
      <xdr:blipFill>
        <a:blip xmlns:r="http://schemas.openxmlformats.org/officeDocument/2006/relationships" r:embed="rId174" cstate="print"/>
        <a:srcRect/>
        <a:stretch>
          <a:fillRect/>
        </a:stretch>
      </xdr:blipFill>
      <xdr:spPr bwMode="auto">
        <a:xfrm>
          <a:off x="6791325" y="76771500"/>
          <a:ext cx="285750" cy="209550"/>
        </a:xfrm>
        <a:prstGeom prst="rect">
          <a:avLst/>
        </a:prstGeom>
        <a:noFill/>
      </xdr:spPr>
    </xdr:pic>
    <xdr:clientData/>
  </xdr:twoCellAnchor>
  <xdr:twoCellAnchor>
    <xdr:from>
      <xdr:col>8</xdr:col>
      <xdr:colOff>0</xdr:colOff>
      <xdr:row>404</xdr:row>
      <xdr:rowOff>0</xdr:rowOff>
    </xdr:from>
    <xdr:to>
      <xdr:col>8</xdr:col>
      <xdr:colOff>285750</xdr:colOff>
      <xdr:row>405</xdr:row>
      <xdr:rowOff>19050</xdr:rowOff>
    </xdr:to>
    <xdr:pic>
      <xdr:nvPicPr>
        <xdr:cNvPr id="179" name="Picture 47" descr="http://jumesyn.celestialdamnation.com/guide/weapons/wand_anger.gif"/>
        <xdr:cNvPicPr>
          <a:picLocks noChangeAspect="1" noChangeArrowheads="1"/>
        </xdr:cNvPicPr>
      </xdr:nvPicPr>
      <xdr:blipFill>
        <a:blip xmlns:r="http://schemas.openxmlformats.org/officeDocument/2006/relationships" r:embed="rId175" cstate="print"/>
        <a:srcRect/>
        <a:stretch>
          <a:fillRect/>
        </a:stretch>
      </xdr:blipFill>
      <xdr:spPr bwMode="auto">
        <a:xfrm>
          <a:off x="6791325" y="76962000"/>
          <a:ext cx="285750" cy="209550"/>
        </a:xfrm>
        <a:prstGeom prst="rect">
          <a:avLst/>
        </a:prstGeom>
        <a:noFill/>
      </xdr:spPr>
    </xdr:pic>
    <xdr:clientData/>
  </xdr:twoCellAnchor>
  <xdr:twoCellAnchor>
    <xdr:from>
      <xdr:col>8</xdr:col>
      <xdr:colOff>0</xdr:colOff>
      <xdr:row>406</xdr:row>
      <xdr:rowOff>0</xdr:rowOff>
    </xdr:from>
    <xdr:to>
      <xdr:col>8</xdr:col>
      <xdr:colOff>285750</xdr:colOff>
      <xdr:row>407</xdr:row>
      <xdr:rowOff>19050</xdr:rowOff>
    </xdr:to>
    <xdr:pic>
      <xdr:nvPicPr>
        <xdr:cNvPr id="180" name="Picture 48" descr="http://jumesyn.celestialdamnation.com/guide/weapons/wand_fool.gif"/>
        <xdr:cNvPicPr>
          <a:picLocks noChangeAspect="1" noChangeArrowheads="1"/>
        </xdr:cNvPicPr>
      </xdr:nvPicPr>
      <xdr:blipFill>
        <a:blip xmlns:r="http://schemas.openxmlformats.org/officeDocument/2006/relationships" r:embed="rId176" cstate="print"/>
        <a:srcRect/>
        <a:stretch>
          <a:fillRect/>
        </a:stretch>
      </xdr:blipFill>
      <xdr:spPr bwMode="auto">
        <a:xfrm>
          <a:off x="6791325" y="77343000"/>
          <a:ext cx="285750" cy="209550"/>
        </a:xfrm>
        <a:prstGeom prst="rect">
          <a:avLst/>
        </a:prstGeom>
        <a:noFill/>
      </xdr:spPr>
    </xdr:pic>
    <xdr:clientData/>
  </xdr:twoCellAnchor>
  <xdr:twoCellAnchor>
    <xdr:from>
      <xdr:col>8</xdr:col>
      <xdr:colOff>0</xdr:colOff>
      <xdr:row>408</xdr:row>
      <xdr:rowOff>0</xdr:rowOff>
    </xdr:from>
    <xdr:to>
      <xdr:col>8</xdr:col>
      <xdr:colOff>285750</xdr:colOff>
      <xdr:row>409</xdr:row>
      <xdr:rowOff>19050</xdr:rowOff>
    </xdr:to>
    <xdr:pic>
      <xdr:nvPicPr>
        <xdr:cNvPr id="181" name="Picture 49" descr="http://jumesyn.celestialdamnation.com/guide/weapons/wand_charm.gif"/>
        <xdr:cNvPicPr>
          <a:picLocks noChangeAspect="1" noChangeArrowheads="1"/>
        </xdr:cNvPicPr>
      </xdr:nvPicPr>
      <xdr:blipFill>
        <a:blip xmlns:r="http://schemas.openxmlformats.org/officeDocument/2006/relationships" r:embed="rId177" cstate="print"/>
        <a:srcRect/>
        <a:stretch>
          <a:fillRect/>
        </a:stretch>
      </xdr:blipFill>
      <xdr:spPr bwMode="auto">
        <a:xfrm>
          <a:off x="6791325" y="77724000"/>
          <a:ext cx="285750" cy="209550"/>
        </a:xfrm>
        <a:prstGeom prst="rect">
          <a:avLst/>
        </a:prstGeom>
        <a:noFill/>
      </xdr:spPr>
    </xdr:pic>
    <xdr:clientData/>
  </xdr:twoCellAnchor>
  <xdr:twoCellAnchor>
    <xdr:from>
      <xdr:col>8</xdr:col>
      <xdr:colOff>0</xdr:colOff>
      <xdr:row>410</xdr:row>
      <xdr:rowOff>0</xdr:rowOff>
    </xdr:from>
    <xdr:to>
      <xdr:col>8</xdr:col>
      <xdr:colOff>285750</xdr:colOff>
      <xdr:row>410</xdr:row>
      <xdr:rowOff>285750</xdr:rowOff>
    </xdr:to>
    <xdr:pic>
      <xdr:nvPicPr>
        <xdr:cNvPr id="182" name="Picture 50" descr="http://jumesyn.celestialdamnation.com/guide/weapons/wand_witch.gif"/>
        <xdr:cNvPicPr>
          <a:picLocks noChangeAspect="1" noChangeArrowheads="1"/>
        </xdr:cNvPicPr>
      </xdr:nvPicPr>
      <xdr:blipFill>
        <a:blip xmlns:r="http://schemas.openxmlformats.org/officeDocument/2006/relationships" r:embed="rId178" cstate="print"/>
        <a:srcRect/>
        <a:stretch>
          <a:fillRect/>
        </a:stretch>
      </xdr:blipFill>
      <xdr:spPr bwMode="auto">
        <a:xfrm>
          <a:off x="6791325" y="78105000"/>
          <a:ext cx="285750" cy="190500"/>
        </a:xfrm>
        <a:prstGeom prst="rect">
          <a:avLst/>
        </a:prstGeom>
        <a:noFill/>
      </xdr:spPr>
    </xdr:pic>
    <xdr:clientData/>
  </xdr:twoCellAnchor>
  <xdr:twoCellAnchor>
    <xdr:from>
      <xdr:col>8</xdr:col>
      <xdr:colOff>0</xdr:colOff>
      <xdr:row>411</xdr:row>
      <xdr:rowOff>0</xdr:rowOff>
    </xdr:from>
    <xdr:to>
      <xdr:col>8</xdr:col>
      <xdr:colOff>285750</xdr:colOff>
      <xdr:row>412</xdr:row>
      <xdr:rowOff>19050</xdr:rowOff>
    </xdr:to>
    <xdr:pic>
      <xdr:nvPicPr>
        <xdr:cNvPr id="183" name="Picture 51" descr="http://jumesyn.celestialdamnation.com/guide/weapons/wand_volcanon.gif"/>
        <xdr:cNvPicPr>
          <a:picLocks noChangeAspect="1" noChangeArrowheads="1"/>
        </xdr:cNvPicPr>
      </xdr:nvPicPr>
      <xdr:blipFill>
        <a:blip xmlns:r="http://schemas.openxmlformats.org/officeDocument/2006/relationships" r:embed="rId179" cstate="print"/>
        <a:srcRect/>
        <a:stretch>
          <a:fillRect/>
        </a:stretch>
      </xdr:blipFill>
      <xdr:spPr bwMode="auto">
        <a:xfrm>
          <a:off x="6791325" y="78295500"/>
          <a:ext cx="285750" cy="209550"/>
        </a:xfrm>
        <a:prstGeom prst="rect">
          <a:avLst/>
        </a:prstGeom>
        <a:noFill/>
      </xdr:spPr>
    </xdr:pic>
    <xdr:clientData/>
  </xdr:twoCellAnchor>
  <xdr:twoCellAnchor>
    <xdr:from>
      <xdr:col>8</xdr:col>
      <xdr:colOff>0</xdr:colOff>
      <xdr:row>413</xdr:row>
      <xdr:rowOff>0</xdr:rowOff>
    </xdr:from>
    <xdr:to>
      <xdr:col>8</xdr:col>
      <xdr:colOff>285750</xdr:colOff>
      <xdr:row>414</xdr:row>
      <xdr:rowOff>19050</xdr:rowOff>
    </xdr:to>
    <xdr:pic>
      <xdr:nvPicPr>
        <xdr:cNvPr id="184" name="Picture 52" descr="http://jumesyn.celestialdamnation.com/guide/weapons/wand_of_kadas.gif"/>
        <xdr:cNvPicPr>
          <a:picLocks noChangeAspect="1" noChangeArrowheads="1"/>
        </xdr:cNvPicPr>
      </xdr:nvPicPr>
      <xdr:blipFill>
        <a:blip xmlns:r="http://schemas.openxmlformats.org/officeDocument/2006/relationships" r:embed="rId180" cstate="print"/>
        <a:srcRect/>
        <a:stretch>
          <a:fillRect/>
        </a:stretch>
      </xdr:blipFill>
      <xdr:spPr bwMode="auto">
        <a:xfrm>
          <a:off x="6791325" y="78676500"/>
          <a:ext cx="285750" cy="209550"/>
        </a:xfrm>
        <a:prstGeom prst="rect">
          <a:avLst/>
        </a:prstGeom>
        <a:noFill/>
      </xdr:spPr>
    </xdr:pic>
    <xdr:clientData/>
  </xdr:twoCellAnchor>
  <xdr:twoCellAnchor>
    <xdr:from>
      <xdr:col>8</xdr:col>
      <xdr:colOff>0</xdr:colOff>
      <xdr:row>415</xdr:row>
      <xdr:rowOff>0</xdr:rowOff>
    </xdr:from>
    <xdr:to>
      <xdr:col>8</xdr:col>
      <xdr:colOff>285750</xdr:colOff>
      <xdr:row>415</xdr:row>
      <xdr:rowOff>285750</xdr:rowOff>
    </xdr:to>
    <xdr:pic>
      <xdr:nvPicPr>
        <xdr:cNvPr id="185" name="Picture 53" descr="http://jumesyn.celestialdamnation.com/guide/weapons/wand_earth.gif"/>
        <xdr:cNvPicPr>
          <a:picLocks noChangeAspect="1" noChangeArrowheads="1"/>
        </xdr:cNvPicPr>
      </xdr:nvPicPr>
      <xdr:blipFill>
        <a:blip xmlns:r="http://schemas.openxmlformats.org/officeDocument/2006/relationships" r:embed="rId181" cstate="print"/>
        <a:srcRect/>
        <a:stretch>
          <a:fillRect/>
        </a:stretch>
      </xdr:blipFill>
      <xdr:spPr bwMode="auto">
        <a:xfrm>
          <a:off x="6791325" y="79057500"/>
          <a:ext cx="285750" cy="190500"/>
        </a:xfrm>
        <a:prstGeom prst="rect">
          <a:avLst/>
        </a:prstGeom>
        <a:noFill/>
      </xdr:spPr>
    </xdr:pic>
    <xdr:clientData/>
  </xdr:twoCellAnchor>
  <xdr:twoCellAnchor>
    <xdr:from>
      <xdr:col>8</xdr:col>
      <xdr:colOff>0</xdr:colOff>
      <xdr:row>416</xdr:row>
      <xdr:rowOff>0</xdr:rowOff>
    </xdr:from>
    <xdr:to>
      <xdr:col>8</xdr:col>
      <xdr:colOff>285750</xdr:colOff>
      <xdr:row>416</xdr:row>
      <xdr:rowOff>285750</xdr:rowOff>
    </xdr:to>
    <xdr:pic>
      <xdr:nvPicPr>
        <xdr:cNvPr id="186" name="Picture 54" descr="http://jumesyn.celestialdamnation.com/guide/weapons/wand_abyss.gif"/>
        <xdr:cNvPicPr>
          <a:picLocks noChangeAspect="1" noChangeArrowheads="1"/>
        </xdr:cNvPicPr>
      </xdr:nvPicPr>
      <xdr:blipFill>
        <a:blip xmlns:r="http://schemas.openxmlformats.org/officeDocument/2006/relationships" r:embed="rId182" cstate="print"/>
        <a:srcRect/>
        <a:stretch>
          <a:fillRect/>
        </a:stretch>
      </xdr:blipFill>
      <xdr:spPr bwMode="auto">
        <a:xfrm>
          <a:off x="6791325" y="79248000"/>
          <a:ext cx="285750" cy="190500"/>
        </a:xfrm>
        <a:prstGeom prst="rect">
          <a:avLst/>
        </a:prstGeom>
        <a:noFill/>
      </xdr:spPr>
    </xdr:pic>
    <xdr:clientData/>
  </xdr:twoCellAnchor>
  <xdr:twoCellAnchor>
    <xdr:from>
      <xdr:col>8</xdr:col>
      <xdr:colOff>0</xdr:colOff>
      <xdr:row>418</xdr:row>
      <xdr:rowOff>0</xdr:rowOff>
    </xdr:from>
    <xdr:to>
      <xdr:col>8</xdr:col>
      <xdr:colOff>285750</xdr:colOff>
      <xdr:row>418</xdr:row>
      <xdr:rowOff>285750</xdr:rowOff>
    </xdr:to>
    <xdr:pic>
      <xdr:nvPicPr>
        <xdr:cNvPr id="187" name="Picture 55" descr="http://jumesyn.celestialdamnation.com/guide/weapons/wand_eternal.gif"/>
        <xdr:cNvPicPr>
          <a:picLocks noChangeAspect="1" noChangeArrowheads="1"/>
        </xdr:cNvPicPr>
      </xdr:nvPicPr>
      <xdr:blipFill>
        <a:blip xmlns:r="http://schemas.openxmlformats.org/officeDocument/2006/relationships" r:embed="rId183" cstate="print"/>
        <a:srcRect/>
        <a:stretch>
          <a:fillRect/>
        </a:stretch>
      </xdr:blipFill>
      <xdr:spPr bwMode="auto">
        <a:xfrm>
          <a:off x="6791325" y="79629000"/>
          <a:ext cx="285750" cy="190500"/>
        </a:xfrm>
        <a:prstGeom prst="rect">
          <a:avLst/>
        </a:prstGeom>
        <a:noFill/>
      </xdr:spPr>
    </xdr:pic>
    <xdr:clientData/>
  </xdr:twoCellAnchor>
  <xdr:twoCellAnchor>
    <xdr:from>
      <xdr:col>8</xdr:col>
      <xdr:colOff>0</xdr:colOff>
      <xdr:row>425</xdr:row>
      <xdr:rowOff>0</xdr:rowOff>
    </xdr:from>
    <xdr:to>
      <xdr:col>8</xdr:col>
      <xdr:colOff>285750</xdr:colOff>
      <xdr:row>426</xdr:row>
      <xdr:rowOff>19050</xdr:rowOff>
    </xdr:to>
    <xdr:pic>
      <xdr:nvPicPr>
        <xdr:cNvPr id="188" name="Picture 61" descr="http://jumesyn.celestialdamnation.com/guide/weapons/wing_metal.gif"/>
        <xdr:cNvPicPr>
          <a:picLocks noChangeAspect="1" noChangeArrowheads="1"/>
        </xdr:cNvPicPr>
      </xdr:nvPicPr>
      <xdr:blipFill>
        <a:blip xmlns:r="http://schemas.openxmlformats.org/officeDocument/2006/relationships" r:embed="rId184" cstate="print"/>
        <a:srcRect/>
        <a:stretch>
          <a:fillRect/>
        </a:stretch>
      </xdr:blipFill>
      <xdr:spPr bwMode="auto">
        <a:xfrm>
          <a:off x="6791325" y="80962500"/>
          <a:ext cx="285750" cy="209550"/>
        </a:xfrm>
        <a:prstGeom prst="rect">
          <a:avLst/>
        </a:prstGeom>
        <a:noFill/>
      </xdr:spPr>
    </xdr:pic>
    <xdr:clientData/>
  </xdr:twoCellAnchor>
  <xdr:twoCellAnchor>
    <xdr:from>
      <xdr:col>8</xdr:col>
      <xdr:colOff>0</xdr:colOff>
      <xdr:row>426</xdr:row>
      <xdr:rowOff>0</xdr:rowOff>
    </xdr:from>
    <xdr:to>
      <xdr:col>8</xdr:col>
      <xdr:colOff>285750</xdr:colOff>
      <xdr:row>427</xdr:row>
      <xdr:rowOff>19050</xdr:rowOff>
    </xdr:to>
    <xdr:pic>
      <xdr:nvPicPr>
        <xdr:cNvPr id="189" name="Picture 62" descr="http://jumesyn.celestialdamnation.com/guide/weapons/wing_silver.gif"/>
        <xdr:cNvPicPr>
          <a:picLocks noChangeAspect="1" noChangeArrowheads="1"/>
        </xdr:cNvPicPr>
      </xdr:nvPicPr>
      <xdr:blipFill>
        <a:blip xmlns:r="http://schemas.openxmlformats.org/officeDocument/2006/relationships" r:embed="rId185" cstate="print"/>
        <a:srcRect/>
        <a:stretch>
          <a:fillRect/>
        </a:stretch>
      </xdr:blipFill>
      <xdr:spPr bwMode="auto">
        <a:xfrm>
          <a:off x="6791325" y="81153000"/>
          <a:ext cx="285750" cy="209550"/>
        </a:xfrm>
        <a:prstGeom prst="rect">
          <a:avLst/>
        </a:prstGeom>
        <a:noFill/>
      </xdr:spPr>
    </xdr:pic>
    <xdr:clientData/>
  </xdr:twoCellAnchor>
  <xdr:twoCellAnchor>
    <xdr:from>
      <xdr:col>8</xdr:col>
      <xdr:colOff>0</xdr:colOff>
      <xdr:row>427</xdr:row>
      <xdr:rowOff>0</xdr:rowOff>
    </xdr:from>
    <xdr:to>
      <xdr:col>8</xdr:col>
      <xdr:colOff>285750</xdr:colOff>
      <xdr:row>428</xdr:row>
      <xdr:rowOff>19050</xdr:rowOff>
    </xdr:to>
    <xdr:sp macro="" textlink="">
      <xdr:nvSpPr>
        <xdr:cNvPr id="190" name="Picture 63" descr="http://jumesyn.celestialdamnation.com/guide/weapons/wing_battle.gif"/>
        <xdr:cNvSpPr>
          <a:spLocks noChangeAspect="1" noChangeArrowheads="1"/>
        </xdr:cNvSpPr>
      </xdr:nvSpPr>
      <xdr:spPr bwMode="auto">
        <a:xfrm>
          <a:off x="6791325" y="81343500"/>
          <a:ext cx="285750" cy="209550"/>
        </a:xfrm>
        <a:prstGeom prst="rect">
          <a:avLst/>
        </a:prstGeom>
        <a:noFill/>
      </xdr:spPr>
    </xdr:sp>
    <xdr:clientData/>
  </xdr:twoCellAnchor>
  <xdr:twoCellAnchor>
    <xdr:from>
      <xdr:col>8</xdr:col>
      <xdr:colOff>0</xdr:colOff>
      <xdr:row>428</xdr:row>
      <xdr:rowOff>0</xdr:rowOff>
    </xdr:from>
    <xdr:to>
      <xdr:col>8</xdr:col>
      <xdr:colOff>285750</xdr:colOff>
      <xdr:row>428</xdr:row>
      <xdr:rowOff>285750</xdr:rowOff>
    </xdr:to>
    <xdr:pic>
      <xdr:nvPicPr>
        <xdr:cNvPr id="191" name="Picture 64" descr="http://jumesyn.celestialdamnation.com/guide/weapons/wing_sylph.gif"/>
        <xdr:cNvPicPr>
          <a:picLocks noChangeAspect="1" noChangeArrowheads="1"/>
        </xdr:cNvPicPr>
      </xdr:nvPicPr>
      <xdr:blipFill>
        <a:blip xmlns:r="http://schemas.openxmlformats.org/officeDocument/2006/relationships" r:embed="rId186" cstate="print"/>
        <a:srcRect/>
        <a:stretch>
          <a:fillRect/>
        </a:stretch>
      </xdr:blipFill>
      <xdr:spPr bwMode="auto">
        <a:xfrm>
          <a:off x="6791325" y="81534000"/>
          <a:ext cx="285750" cy="190500"/>
        </a:xfrm>
        <a:prstGeom prst="rect">
          <a:avLst/>
        </a:prstGeom>
        <a:noFill/>
      </xdr:spPr>
    </xdr:pic>
    <xdr:clientData/>
  </xdr:twoCellAnchor>
  <xdr:twoCellAnchor>
    <xdr:from>
      <xdr:col>8</xdr:col>
      <xdr:colOff>0</xdr:colOff>
      <xdr:row>430</xdr:row>
      <xdr:rowOff>0</xdr:rowOff>
    </xdr:from>
    <xdr:to>
      <xdr:col>8</xdr:col>
      <xdr:colOff>285750</xdr:colOff>
      <xdr:row>430</xdr:row>
      <xdr:rowOff>285750</xdr:rowOff>
    </xdr:to>
    <xdr:pic>
      <xdr:nvPicPr>
        <xdr:cNvPr id="192" name="Picture 65" descr="http://jumesyn.celestialdamnation.com/guide/weapons/wing_sonic.gif"/>
        <xdr:cNvPicPr>
          <a:picLocks noChangeAspect="1" noChangeArrowheads="1"/>
        </xdr:cNvPicPr>
      </xdr:nvPicPr>
      <xdr:blipFill>
        <a:blip xmlns:r="http://schemas.openxmlformats.org/officeDocument/2006/relationships" r:embed="rId187" cstate="print"/>
        <a:srcRect/>
        <a:stretch>
          <a:fillRect/>
        </a:stretch>
      </xdr:blipFill>
      <xdr:spPr bwMode="auto">
        <a:xfrm>
          <a:off x="6791325" y="81915000"/>
          <a:ext cx="285750" cy="190500"/>
        </a:xfrm>
        <a:prstGeom prst="rect">
          <a:avLst/>
        </a:prstGeom>
        <a:noFill/>
      </xdr:spPr>
    </xdr:pic>
    <xdr:clientData/>
  </xdr:twoCellAnchor>
  <xdr:twoCellAnchor>
    <xdr:from>
      <xdr:col>8</xdr:col>
      <xdr:colOff>0</xdr:colOff>
      <xdr:row>432</xdr:row>
      <xdr:rowOff>0</xdr:rowOff>
    </xdr:from>
    <xdr:to>
      <xdr:col>8</xdr:col>
      <xdr:colOff>285750</xdr:colOff>
      <xdr:row>433</xdr:row>
      <xdr:rowOff>19050</xdr:rowOff>
    </xdr:to>
    <xdr:pic>
      <xdr:nvPicPr>
        <xdr:cNvPr id="193" name="Picture 66" descr="http://jumesyn.celestialdamnation.com/guide/weapons/wing_cosmo.gif"/>
        <xdr:cNvPicPr>
          <a:picLocks noChangeAspect="1" noChangeArrowheads="1"/>
        </xdr:cNvPicPr>
      </xdr:nvPicPr>
      <xdr:blipFill>
        <a:blip xmlns:r="http://schemas.openxmlformats.org/officeDocument/2006/relationships" r:embed="rId188" cstate="print"/>
        <a:srcRect/>
        <a:stretch>
          <a:fillRect/>
        </a:stretch>
      </xdr:blipFill>
      <xdr:spPr bwMode="auto">
        <a:xfrm>
          <a:off x="6791325" y="82296000"/>
          <a:ext cx="285750" cy="209550"/>
        </a:xfrm>
        <a:prstGeom prst="rect">
          <a:avLst/>
        </a:prstGeom>
        <a:noFill/>
      </xdr:spPr>
    </xdr:pic>
    <xdr:clientData/>
  </xdr:twoCellAnchor>
  <xdr:twoCellAnchor>
    <xdr:from>
      <xdr:col>8</xdr:col>
      <xdr:colOff>0</xdr:colOff>
      <xdr:row>434</xdr:row>
      <xdr:rowOff>0</xdr:rowOff>
    </xdr:from>
    <xdr:to>
      <xdr:col>8</xdr:col>
      <xdr:colOff>285750</xdr:colOff>
      <xdr:row>434</xdr:row>
      <xdr:rowOff>285750</xdr:rowOff>
    </xdr:to>
    <xdr:pic>
      <xdr:nvPicPr>
        <xdr:cNvPr id="194" name="Picture 67" descr="http://jumesyn.celestialdamnation.com/guide/weapons/wing_zero.gif"/>
        <xdr:cNvPicPr>
          <a:picLocks noChangeAspect="1" noChangeArrowheads="1"/>
        </xdr:cNvPicPr>
      </xdr:nvPicPr>
      <xdr:blipFill>
        <a:blip xmlns:r="http://schemas.openxmlformats.org/officeDocument/2006/relationships" r:embed="rId189" cstate="print"/>
        <a:srcRect/>
        <a:stretch>
          <a:fillRect/>
        </a:stretch>
      </xdr:blipFill>
      <xdr:spPr bwMode="auto">
        <a:xfrm>
          <a:off x="6791325" y="82677000"/>
          <a:ext cx="285750" cy="190500"/>
        </a:xfrm>
        <a:prstGeom prst="rect">
          <a:avLst/>
        </a:prstGeom>
        <a:noFill/>
      </xdr:spPr>
    </xdr:pic>
    <xdr:clientData/>
  </xdr:twoCellAnchor>
  <xdr:twoCellAnchor>
    <xdr:from>
      <xdr:col>8</xdr:col>
      <xdr:colOff>0</xdr:colOff>
      <xdr:row>435</xdr:row>
      <xdr:rowOff>0</xdr:rowOff>
    </xdr:from>
    <xdr:to>
      <xdr:col>8</xdr:col>
      <xdr:colOff>285750</xdr:colOff>
      <xdr:row>435</xdr:row>
      <xdr:rowOff>285750</xdr:rowOff>
    </xdr:to>
    <xdr:pic>
      <xdr:nvPicPr>
        <xdr:cNvPr id="195" name="Picture 68" descr="http://jumesyn.celestialdamnation.com/guide/weapons/wing_full_metal.gif"/>
        <xdr:cNvPicPr>
          <a:picLocks noChangeAspect="1" noChangeArrowheads="1"/>
        </xdr:cNvPicPr>
      </xdr:nvPicPr>
      <xdr:blipFill>
        <a:blip xmlns:r="http://schemas.openxmlformats.org/officeDocument/2006/relationships" r:embed="rId190" cstate="print"/>
        <a:srcRect/>
        <a:stretch>
          <a:fillRect/>
        </a:stretch>
      </xdr:blipFill>
      <xdr:spPr bwMode="auto">
        <a:xfrm>
          <a:off x="6791325" y="82867500"/>
          <a:ext cx="285750" cy="190500"/>
        </a:xfrm>
        <a:prstGeom prst="rect">
          <a:avLst/>
        </a:prstGeom>
        <a:noFill/>
      </xdr:spPr>
    </xdr:pic>
    <xdr:clientData/>
  </xdr:twoCellAnchor>
  <xdr:twoCellAnchor>
    <xdr:from>
      <xdr:col>8</xdr:col>
      <xdr:colOff>0</xdr:colOff>
      <xdr:row>18</xdr:row>
      <xdr:rowOff>0</xdr:rowOff>
    </xdr:from>
    <xdr:to>
      <xdr:col>8</xdr:col>
      <xdr:colOff>285750</xdr:colOff>
      <xdr:row>19</xdr:row>
      <xdr:rowOff>19050</xdr:rowOff>
    </xdr:to>
    <xdr:pic>
      <xdr:nvPicPr>
        <xdr:cNvPr id="196" name="Picture 11998" descr="http://jumesyn.celestialdamnation.com/guide/weapons/ankh_power.gif"/>
        <xdr:cNvPicPr>
          <a:picLocks noChangeAspect="1" noChangeArrowheads="1"/>
        </xdr:cNvPicPr>
      </xdr:nvPicPr>
      <xdr:blipFill>
        <a:blip xmlns:r="http://schemas.openxmlformats.org/officeDocument/2006/relationships" r:embed="rId1" cstate="print"/>
        <a:srcRect/>
        <a:stretch>
          <a:fillRect/>
        </a:stretch>
      </xdr:blipFill>
      <xdr:spPr bwMode="auto">
        <a:xfrm>
          <a:off x="6791325" y="3429000"/>
          <a:ext cx="285750" cy="209550"/>
        </a:xfrm>
        <a:prstGeom prst="rect">
          <a:avLst/>
        </a:prstGeom>
        <a:noFill/>
      </xdr:spPr>
    </xdr:pic>
    <xdr:clientData/>
  </xdr:twoCellAnchor>
  <xdr:twoCellAnchor>
    <xdr:from>
      <xdr:col>8</xdr:col>
      <xdr:colOff>0</xdr:colOff>
      <xdr:row>82</xdr:row>
      <xdr:rowOff>0</xdr:rowOff>
    </xdr:from>
    <xdr:to>
      <xdr:col>8</xdr:col>
      <xdr:colOff>285750</xdr:colOff>
      <xdr:row>83</xdr:row>
      <xdr:rowOff>85725</xdr:rowOff>
    </xdr:to>
    <xdr:pic>
      <xdr:nvPicPr>
        <xdr:cNvPr id="197" name="Picture 12032" descr="http://jumesyn.celestialdamnation.com/guide/weapons/blade_iron.gif"/>
        <xdr:cNvPicPr>
          <a:picLocks noChangeAspect="1" noChangeArrowheads="1"/>
        </xdr:cNvPicPr>
      </xdr:nvPicPr>
      <xdr:blipFill>
        <a:blip xmlns:r="http://schemas.openxmlformats.org/officeDocument/2006/relationships" r:embed="rId30" cstate="print"/>
        <a:srcRect/>
        <a:stretch>
          <a:fillRect/>
        </a:stretch>
      </xdr:blipFill>
      <xdr:spPr bwMode="auto">
        <a:xfrm>
          <a:off x="6791325" y="15621000"/>
          <a:ext cx="285750" cy="276225"/>
        </a:xfrm>
        <a:prstGeom prst="rect">
          <a:avLst/>
        </a:prstGeom>
        <a:noFill/>
      </xdr:spPr>
    </xdr:pic>
    <xdr:clientData/>
  </xdr:twoCellAnchor>
  <xdr:twoCellAnchor>
    <xdr:from>
      <xdr:col>8</xdr:col>
      <xdr:colOff>0</xdr:colOff>
      <xdr:row>117</xdr:row>
      <xdr:rowOff>0</xdr:rowOff>
    </xdr:from>
    <xdr:to>
      <xdr:col>8</xdr:col>
      <xdr:colOff>285750</xdr:colOff>
      <xdr:row>118</xdr:row>
      <xdr:rowOff>19050</xdr:rowOff>
    </xdr:to>
    <xdr:pic>
      <xdr:nvPicPr>
        <xdr:cNvPr id="198" name="Picture 12052" descr="http://jumesyn.celestialdamnation.com/guide/weapons/glove_razor.gif"/>
        <xdr:cNvPicPr>
          <a:picLocks noChangeAspect="1" noChangeArrowheads="1"/>
        </xdr:cNvPicPr>
      </xdr:nvPicPr>
      <xdr:blipFill>
        <a:blip xmlns:r="http://schemas.openxmlformats.org/officeDocument/2006/relationships" r:embed="rId50" cstate="print"/>
        <a:srcRect/>
        <a:stretch>
          <a:fillRect/>
        </a:stretch>
      </xdr:blipFill>
      <xdr:spPr bwMode="auto">
        <a:xfrm>
          <a:off x="6791325" y="22288500"/>
          <a:ext cx="285750" cy="209550"/>
        </a:xfrm>
        <a:prstGeom prst="rect">
          <a:avLst/>
        </a:prstGeom>
        <a:noFill/>
      </xdr:spPr>
    </xdr:pic>
    <xdr:clientData/>
  </xdr:twoCellAnchor>
  <xdr:twoCellAnchor>
    <xdr:from>
      <xdr:col>8</xdr:col>
      <xdr:colOff>0</xdr:colOff>
      <xdr:row>140</xdr:row>
      <xdr:rowOff>0</xdr:rowOff>
    </xdr:from>
    <xdr:to>
      <xdr:col>8</xdr:col>
      <xdr:colOff>285750</xdr:colOff>
      <xdr:row>141</xdr:row>
      <xdr:rowOff>85725</xdr:rowOff>
    </xdr:to>
    <xdr:pic>
      <xdr:nvPicPr>
        <xdr:cNvPr id="199" name="Picture 12061" descr="http://jumesyn.celestialdamnation.com/guide/weapons/halberd_halberd.gif"/>
        <xdr:cNvPicPr>
          <a:picLocks noChangeAspect="1" noChangeArrowheads="1"/>
        </xdr:cNvPicPr>
      </xdr:nvPicPr>
      <xdr:blipFill>
        <a:blip xmlns:r="http://schemas.openxmlformats.org/officeDocument/2006/relationships" r:embed="rId59" cstate="print"/>
        <a:srcRect/>
        <a:stretch>
          <a:fillRect/>
        </a:stretch>
      </xdr:blipFill>
      <xdr:spPr bwMode="auto">
        <a:xfrm>
          <a:off x="6791325" y="26670000"/>
          <a:ext cx="285750" cy="276225"/>
        </a:xfrm>
        <a:prstGeom prst="rect">
          <a:avLst/>
        </a:prstGeom>
        <a:noFill/>
      </xdr:spPr>
    </xdr:pic>
    <xdr:clientData/>
  </xdr:twoCellAnchor>
  <xdr:twoCellAnchor>
    <xdr:from>
      <xdr:col>8</xdr:col>
      <xdr:colOff>0</xdr:colOff>
      <xdr:row>157</xdr:row>
      <xdr:rowOff>0</xdr:rowOff>
    </xdr:from>
    <xdr:to>
      <xdr:col>8</xdr:col>
      <xdr:colOff>285750</xdr:colOff>
      <xdr:row>158</xdr:row>
      <xdr:rowOff>19050</xdr:rowOff>
    </xdr:to>
    <xdr:pic>
      <xdr:nvPicPr>
        <xdr:cNvPr id="200" name="Picture 12147" descr="http://jumesyn.celestialdamnation.com/guide/weapons/katana_small.gif"/>
        <xdr:cNvPicPr>
          <a:picLocks noChangeAspect="1" noChangeArrowheads="1"/>
        </xdr:cNvPicPr>
      </xdr:nvPicPr>
      <xdr:blipFill>
        <a:blip xmlns:r="http://schemas.openxmlformats.org/officeDocument/2006/relationships" r:embed="rId67" cstate="print"/>
        <a:srcRect/>
        <a:stretch>
          <a:fillRect/>
        </a:stretch>
      </xdr:blipFill>
      <xdr:spPr bwMode="auto">
        <a:xfrm>
          <a:off x="6791325" y="29908500"/>
          <a:ext cx="285750" cy="209550"/>
        </a:xfrm>
        <a:prstGeom prst="rect">
          <a:avLst/>
        </a:prstGeom>
        <a:noFill/>
      </xdr:spPr>
    </xdr:pic>
    <xdr:clientData/>
  </xdr:twoCellAnchor>
  <xdr:twoCellAnchor>
    <xdr:from>
      <xdr:col>8</xdr:col>
      <xdr:colOff>0</xdr:colOff>
      <xdr:row>191</xdr:row>
      <xdr:rowOff>0</xdr:rowOff>
    </xdr:from>
    <xdr:to>
      <xdr:col>8</xdr:col>
      <xdr:colOff>285750</xdr:colOff>
      <xdr:row>192</xdr:row>
      <xdr:rowOff>19050</xdr:rowOff>
    </xdr:to>
    <xdr:pic>
      <xdr:nvPicPr>
        <xdr:cNvPr id="201" name="Picture 12164" descr="http://jumesyn.celestialdamnation.com/guide/weapons/knuckle_razor.gif"/>
        <xdr:cNvPicPr>
          <a:picLocks noChangeAspect="1" noChangeArrowheads="1"/>
        </xdr:cNvPicPr>
      </xdr:nvPicPr>
      <xdr:blipFill>
        <a:blip xmlns:r="http://schemas.openxmlformats.org/officeDocument/2006/relationships" r:embed="rId84" cstate="print"/>
        <a:srcRect/>
        <a:stretch>
          <a:fillRect/>
        </a:stretch>
      </xdr:blipFill>
      <xdr:spPr bwMode="auto">
        <a:xfrm>
          <a:off x="6791325" y="36385500"/>
          <a:ext cx="285750" cy="209550"/>
        </a:xfrm>
        <a:prstGeom prst="rect">
          <a:avLst/>
        </a:prstGeom>
        <a:noFill/>
      </xdr:spPr>
    </xdr:pic>
    <xdr:clientData/>
  </xdr:twoCellAnchor>
  <xdr:twoCellAnchor>
    <xdr:from>
      <xdr:col>8</xdr:col>
      <xdr:colOff>0</xdr:colOff>
      <xdr:row>227</xdr:row>
      <xdr:rowOff>0</xdr:rowOff>
    </xdr:from>
    <xdr:to>
      <xdr:col>8</xdr:col>
      <xdr:colOff>285750</xdr:colOff>
      <xdr:row>228</xdr:row>
      <xdr:rowOff>19050</xdr:rowOff>
    </xdr:to>
    <xdr:pic>
      <xdr:nvPicPr>
        <xdr:cNvPr id="202" name="Picture 12180" descr="http://jumesyn.celestialdamnation.com/guide/weapons/mace_middle.gif"/>
        <xdr:cNvPicPr>
          <a:picLocks noChangeAspect="1" noChangeArrowheads="1"/>
        </xdr:cNvPicPr>
      </xdr:nvPicPr>
      <xdr:blipFill>
        <a:blip xmlns:r="http://schemas.openxmlformats.org/officeDocument/2006/relationships" r:embed="rId98" cstate="print"/>
        <a:srcRect/>
        <a:stretch>
          <a:fillRect/>
        </a:stretch>
      </xdr:blipFill>
      <xdr:spPr bwMode="auto">
        <a:xfrm>
          <a:off x="6791325" y="43243500"/>
          <a:ext cx="285750" cy="209550"/>
        </a:xfrm>
        <a:prstGeom prst="rect">
          <a:avLst/>
        </a:prstGeom>
        <a:noFill/>
      </xdr:spPr>
    </xdr:pic>
    <xdr:clientData/>
  </xdr:twoCellAnchor>
  <xdr:twoCellAnchor>
    <xdr:from>
      <xdr:col>8</xdr:col>
      <xdr:colOff>0</xdr:colOff>
      <xdr:row>246</xdr:row>
      <xdr:rowOff>0</xdr:rowOff>
    </xdr:from>
    <xdr:to>
      <xdr:col>8</xdr:col>
      <xdr:colOff>285750</xdr:colOff>
      <xdr:row>247</xdr:row>
      <xdr:rowOff>19050</xdr:rowOff>
    </xdr:to>
    <xdr:pic>
      <xdr:nvPicPr>
        <xdr:cNvPr id="203" name="Picture 12188" descr="http://jumesyn.celestialdamnation.com/guide/weapons/quarrel_light.gif"/>
        <xdr:cNvPicPr>
          <a:picLocks noChangeAspect="1" noChangeArrowheads="1"/>
        </xdr:cNvPicPr>
      </xdr:nvPicPr>
      <xdr:blipFill>
        <a:blip xmlns:r="http://schemas.openxmlformats.org/officeDocument/2006/relationships" r:embed="rId106" cstate="print"/>
        <a:srcRect/>
        <a:stretch>
          <a:fillRect/>
        </a:stretch>
      </xdr:blipFill>
      <xdr:spPr bwMode="auto">
        <a:xfrm>
          <a:off x="6791325" y="46863000"/>
          <a:ext cx="285750" cy="209550"/>
        </a:xfrm>
        <a:prstGeom prst="rect">
          <a:avLst/>
        </a:prstGeom>
        <a:noFill/>
      </xdr:spPr>
    </xdr:pic>
    <xdr:clientData/>
  </xdr:twoCellAnchor>
  <xdr:twoCellAnchor>
    <xdr:from>
      <xdr:col>8</xdr:col>
      <xdr:colOff>0</xdr:colOff>
      <xdr:row>265</xdr:row>
      <xdr:rowOff>0</xdr:rowOff>
    </xdr:from>
    <xdr:to>
      <xdr:col>8</xdr:col>
      <xdr:colOff>285750</xdr:colOff>
      <xdr:row>266</xdr:row>
      <xdr:rowOff>19050</xdr:rowOff>
    </xdr:to>
    <xdr:pic>
      <xdr:nvPicPr>
        <xdr:cNvPr id="204" name="Picture 12195" descr="http://jumesyn.celestialdamnation.com/guide/weapons/rapier_light.gif"/>
        <xdr:cNvPicPr>
          <a:picLocks noChangeAspect="1" noChangeArrowheads="1"/>
        </xdr:cNvPicPr>
      </xdr:nvPicPr>
      <xdr:blipFill>
        <a:blip xmlns:r="http://schemas.openxmlformats.org/officeDocument/2006/relationships" r:embed="rId113" cstate="print"/>
        <a:srcRect/>
        <a:stretch>
          <a:fillRect/>
        </a:stretch>
      </xdr:blipFill>
      <xdr:spPr bwMode="auto">
        <a:xfrm>
          <a:off x="6791325" y="50482500"/>
          <a:ext cx="285750" cy="209550"/>
        </a:xfrm>
        <a:prstGeom prst="rect">
          <a:avLst/>
        </a:prstGeom>
        <a:noFill/>
      </xdr:spPr>
    </xdr:pic>
    <xdr:clientData/>
  </xdr:twoCellAnchor>
  <xdr:twoCellAnchor>
    <xdr:from>
      <xdr:col>8</xdr:col>
      <xdr:colOff>0</xdr:colOff>
      <xdr:row>287</xdr:row>
      <xdr:rowOff>0</xdr:rowOff>
    </xdr:from>
    <xdr:to>
      <xdr:col>8</xdr:col>
      <xdr:colOff>285750</xdr:colOff>
      <xdr:row>288</xdr:row>
      <xdr:rowOff>19050</xdr:rowOff>
    </xdr:to>
    <xdr:pic>
      <xdr:nvPicPr>
        <xdr:cNvPr id="205" name="Picture 12205" descr="http://jumesyn.celestialdamnation.com/guide/weapons/rod_timber.gif"/>
        <xdr:cNvPicPr>
          <a:picLocks noChangeAspect="1" noChangeArrowheads="1"/>
        </xdr:cNvPicPr>
      </xdr:nvPicPr>
      <xdr:blipFill>
        <a:blip xmlns:r="http://schemas.openxmlformats.org/officeDocument/2006/relationships" r:embed="rId122" cstate="print"/>
        <a:srcRect/>
        <a:stretch>
          <a:fillRect/>
        </a:stretch>
      </xdr:blipFill>
      <xdr:spPr bwMode="auto">
        <a:xfrm>
          <a:off x="6791325" y="54673500"/>
          <a:ext cx="285750" cy="209550"/>
        </a:xfrm>
        <a:prstGeom prst="rect">
          <a:avLst/>
        </a:prstGeom>
        <a:noFill/>
      </xdr:spPr>
    </xdr:pic>
    <xdr:clientData/>
  </xdr:twoCellAnchor>
  <xdr:twoCellAnchor>
    <xdr:from>
      <xdr:col>8</xdr:col>
      <xdr:colOff>0</xdr:colOff>
      <xdr:row>312</xdr:row>
      <xdr:rowOff>0</xdr:rowOff>
    </xdr:from>
    <xdr:to>
      <xdr:col>8</xdr:col>
      <xdr:colOff>285750</xdr:colOff>
      <xdr:row>313</xdr:row>
      <xdr:rowOff>19050</xdr:rowOff>
    </xdr:to>
    <xdr:pic>
      <xdr:nvPicPr>
        <xdr:cNvPr id="206" name="Picture 1" descr="http://jumesyn.celestialdamnation.com/guide/weapons/shell_assault.gif"/>
        <xdr:cNvPicPr>
          <a:picLocks noChangeAspect="1" noChangeArrowheads="1"/>
        </xdr:cNvPicPr>
      </xdr:nvPicPr>
      <xdr:blipFill>
        <a:blip xmlns:r="http://schemas.openxmlformats.org/officeDocument/2006/relationships" r:embed="rId133" cstate="print"/>
        <a:srcRect/>
        <a:stretch>
          <a:fillRect/>
        </a:stretch>
      </xdr:blipFill>
      <xdr:spPr bwMode="auto">
        <a:xfrm>
          <a:off x="6791325" y="59436000"/>
          <a:ext cx="285750" cy="209550"/>
        </a:xfrm>
        <a:prstGeom prst="rect">
          <a:avLst/>
        </a:prstGeom>
        <a:noFill/>
      </xdr:spPr>
    </xdr:pic>
    <xdr:clientData/>
  </xdr:twoCellAnchor>
  <xdr:twoCellAnchor>
    <xdr:from>
      <xdr:col>8</xdr:col>
      <xdr:colOff>0</xdr:colOff>
      <xdr:row>331</xdr:row>
      <xdr:rowOff>0</xdr:rowOff>
    </xdr:from>
    <xdr:to>
      <xdr:col>8</xdr:col>
      <xdr:colOff>285750</xdr:colOff>
      <xdr:row>332</xdr:row>
      <xdr:rowOff>19050</xdr:rowOff>
    </xdr:to>
    <xdr:pic>
      <xdr:nvPicPr>
        <xdr:cNvPr id="207" name="Picture 8" descr="http://jumesyn.celestialdamnation.com/guide/weapons/shuriken_cross.gif"/>
        <xdr:cNvPicPr>
          <a:picLocks noChangeAspect="1" noChangeArrowheads="1"/>
        </xdr:cNvPicPr>
      </xdr:nvPicPr>
      <xdr:blipFill>
        <a:blip xmlns:r="http://schemas.openxmlformats.org/officeDocument/2006/relationships" r:embed="rId140" cstate="print"/>
        <a:srcRect/>
        <a:stretch>
          <a:fillRect/>
        </a:stretch>
      </xdr:blipFill>
      <xdr:spPr bwMode="auto">
        <a:xfrm>
          <a:off x="6791325" y="63055500"/>
          <a:ext cx="285750" cy="209550"/>
        </a:xfrm>
        <a:prstGeom prst="rect">
          <a:avLst/>
        </a:prstGeom>
        <a:noFill/>
      </xdr:spPr>
    </xdr:pic>
    <xdr:clientData/>
  </xdr:twoCellAnchor>
  <xdr:twoCellAnchor>
    <xdr:from>
      <xdr:col>8</xdr:col>
      <xdr:colOff>0</xdr:colOff>
      <xdr:row>176</xdr:row>
      <xdr:rowOff>0</xdr:rowOff>
    </xdr:from>
    <xdr:to>
      <xdr:col>8</xdr:col>
      <xdr:colOff>285750</xdr:colOff>
      <xdr:row>177</xdr:row>
      <xdr:rowOff>19050</xdr:rowOff>
    </xdr:to>
    <xdr:pic>
      <xdr:nvPicPr>
        <xdr:cNvPr id="208" name="Picture 12157" descr="http://jumesyn.celestialdamnation.com/guide/weapons/knife_bronze.gif"/>
        <xdr:cNvPicPr>
          <a:picLocks noChangeAspect="1" noChangeArrowheads="1"/>
        </xdr:cNvPicPr>
      </xdr:nvPicPr>
      <xdr:blipFill>
        <a:blip xmlns:r="http://schemas.openxmlformats.org/officeDocument/2006/relationships" r:embed="rId77" cstate="print"/>
        <a:srcRect/>
        <a:stretch>
          <a:fillRect/>
        </a:stretch>
      </xdr:blipFill>
      <xdr:spPr bwMode="auto">
        <a:xfrm>
          <a:off x="6791325" y="33528000"/>
          <a:ext cx="285750" cy="209550"/>
        </a:xfrm>
        <a:prstGeom prst="rect">
          <a:avLst/>
        </a:prstGeom>
        <a:noFill/>
      </xdr:spPr>
    </xdr:pic>
    <xdr:clientData/>
  </xdr:twoCellAnchor>
  <xdr:twoCellAnchor>
    <xdr:from>
      <xdr:col>8</xdr:col>
      <xdr:colOff>0</xdr:colOff>
      <xdr:row>348</xdr:row>
      <xdr:rowOff>0</xdr:rowOff>
    </xdr:from>
    <xdr:to>
      <xdr:col>8</xdr:col>
      <xdr:colOff>285750</xdr:colOff>
      <xdr:row>349</xdr:row>
      <xdr:rowOff>85725</xdr:rowOff>
    </xdr:to>
    <xdr:pic>
      <xdr:nvPicPr>
        <xdr:cNvPr id="209" name="Picture 15" descr="http://jumesyn.celestialdamnation.com/guide/weapons/spear_spear.gif"/>
        <xdr:cNvPicPr>
          <a:picLocks noChangeAspect="1" noChangeArrowheads="1"/>
        </xdr:cNvPicPr>
      </xdr:nvPicPr>
      <xdr:blipFill>
        <a:blip xmlns:r="http://schemas.openxmlformats.org/officeDocument/2006/relationships" r:embed="rId147" cstate="print"/>
        <a:srcRect/>
        <a:stretch>
          <a:fillRect/>
        </a:stretch>
      </xdr:blipFill>
      <xdr:spPr bwMode="auto">
        <a:xfrm>
          <a:off x="6791325" y="66294000"/>
          <a:ext cx="285750" cy="276225"/>
        </a:xfrm>
        <a:prstGeom prst="rect">
          <a:avLst/>
        </a:prstGeom>
        <a:noFill/>
      </xdr:spPr>
    </xdr:pic>
    <xdr:clientData/>
  </xdr:twoCellAnchor>
  <xdr:twoCellAnchor>
    <xdr:from>
      <xdr:col>8</xdr:col>
      <xdr:colOff>0</xdr:colOff>
      <xdr:row>383</xdr:row>
      <xdr:rowOff>0</xdr:rowOff>
    </xdr:from>
    <xdr:to>
      <xdr:col>8</xdr:col>
      <xdr:colOff>285750</xdr:colOff>
      <xdr:row>384</xdr:row>
      <xdr:rowOff>19050</xdr:rowOff>
    </xdr:to>
    <xdr:pic>
      <xdr:nvPicPr>
        <xdr:cNvPr id="210" name="Picture 38" descr="http://jumesyn.celestialdamnation.com/guide/weapons/tomahawk_tomahawk.gif"/>
        <xdr:cNvPicPr>
          <a:picLocks noChangeAspect="1" noChangeArrowheads="1"/>
        </xdr:cNvPicPr>
      </xdr:nvPicPr>
      <xdr:blipFill>
        <a:blip xmlns:r="http://schemas.openxmlformats.org/officeDocument/2006/relationships" r:embed="rId166" cstate="print"/>
        <a:srcRect/>
        <a:stretch>
          <a:fillRect/>
        </a:stretch>
      </xdr:blipFill>
      <xdr:spPr bwMode="auto">
        <a:xfrm>
          <a:off x="6791325" y="72961500"/>
          <a:ext cx="285750" cy="209550"/>
        </a:xfrm>
        <a:prstGeom prst="rect">
          <a:avLst/>
        </a:prstGeom>
        <a:noFill/>
      </xdr:spPr>
    </xdr:pic>
    <xdr:clientData/>
  </xdr:twoCellAnchor>
  <xdr:twoCellAnchor>
    <xdr:from>
      <xdr:col>8</xdr:col>
      <xdr:colOff>0</xdr:colOff>
      <xdr:row>401</xdr:row>
      <xdr:rowOff>0</xdr:rowOff>
    </xdr:from>
    <xdr:to>
      <xdr:col>8</xdr:col>
      <xdr:colOff>285750</xdr:colOff>
      <xdr:row>402</xdr:row>
      <xdr:rowOff>19050</xdr:rowOff>
    </xdr:to>
    <xdr:pic>
      <xdr:nvPicPr>
        <xdr:cNvPr id="211" name="Picture 45" descr="http://jumesyn.celestialdamnation.com/guide/weapons/wand_small.gif"/>
        <xdr:cNvPicPr>
          <a:picLocks noChangeAspect="1" noChangeArrowheads="1"/>
        </xdr:cNvPicPr>
      </xdr:nvPicPr>
      <xdr:blipFill>
        <a:blip xmlns:r="http://schemas.openxmlformats.org/officeDocument/2006/relationships" r:embed="rId173" cstate="print"/>
        <a:srcRect/>
        <a:stretch>
          <a:fillRect/>
        </a:stretch>
      </xdr:blipFill>
      <xdr:spPr bwMode="auto">
        <a:xfrm>
          <a:off x="6791325" y="76390500"/>
          <a:ext cx="285750" cy="209550"/>
        </a:xfrm>
        <a:prstGeom prst="rect">
          <a:avLst/>
        </a:prstGeom>
        <a:noFill/>
      </xdr:spPr>
    </xdr:pic>
    <xdr:clientData/>
  </xdr:twoCellAnchor>
  <xdr:twoCellAnchor>
    <xdr:from>
      <xdr:col>8</xdr:col>
      <xdr:colOff>0</xdr:colOff>
      <xdr:row>424</xdr:row>
      <xdr:rowOff>0</xdr:rowOff>
    </xdr:from>
    <xdr:to>
      <xdr:col>8</xdr:col>
      <xdr:colOff>285750</xdr:colOff>
      <xdr:row>425</xdr:row>
      <xdr:rowOff>19050</xdr:rowOff>
    </xdr:to>
    <xdr:pic>
      <xdr:nvPicPr>
        <xdr:cNvPr id="212" name="Picture 61" descr="http://jumesyn.celestialdamnation.com/guide/weapons/wing_metal.gif"/>
        <xdr:cNvPicPr>
          <a:picLocks noChangeAspect="1" noChangeArrowheads="1"/>
        </xdr:cNvPicPr>
      </xdr:nvPicPr>
      <xdr:blipFill>
        <a:blip xmlns:r="http://schemas.openxmlformats.org/officeDocument/2006/relationships" r:embed="rId184" cstate="print"/>
        <a:srcRect/>
        <a:stretch>
          <a:fillRect/>
        </a:stretch>
      </xdr:blipFill>
      <xdr:spPr bwMode="auto">
        <a:xfrm>
          <a:off x="6791325" y="80772000"/>
          <a:ext cx="285750" cy="2095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2</xdr:row>
      <xdr:rowOff>0</xdr:rowOff>
    </xdr:from>
    <xdr:to>
      <xdr:col>8</xdr:col>
      <xdr:colOff>285750</xdr:colOff>
      <xdr:row>3</xdr:row>
      <xdr:rowOff>19050</xdr:rowOff>
    </xdr:to>
    <xdr:pic>
      <xdr:nvPicPr>
        <xdr:cNvPr id="2" name="Picture 11993" descr="http://jumesyn.celestialdamnation.com/guide/weapons/anchor_power.gif"/>
        <xdr:cNvPicPr>
          <a:picLocks noChangeAspect="1" noChangeArrowheads="1"/>
        </xdr:cNvPicPr>
      </xdr:nvPicPr>
      <xdr:blipFill>
        <a:blip xmlns:r="http://schemas.openxmlformats.org/officeDocument/2006/relationships" r:embed="rId1" cstate="print"/>
        <a:srcRect/>
        <a:stretch>
          <a:fillRect/>
        </a:stretch>
      </xdr:blipFill>
      <xdr:spPr bwMode="auto">
        <a:xfrm>
          <a:off x="4876800" y="381000"/>
          <a:ext cx="285750" cy="247650"/>
        </a:xfrm>
        <a:prstGeom prst="rect">
          <a:avLst/>
        </a:prstGeom>
        <a:noFill/>
      </xdr:spPr>
    </xdr:pic>
    <xdr:clientData/>
  </xdr:twoCellAnchor>
  <xdr:twoCellAnchor>
    <xdr:from>
      <xdr:col>8</xdr:col>
      <xdr:colOff>0</xdr:colOff>
      <xdr:row>3</xdr:row>
      <xdr:rowOff>0</xdr:rowOff>
    </xdr:from>
    <xdr:to>
      <xdr:col>8</xdr:col>
      <xdr:colOff>285750</xdr:colOff>
      <xdr:row>3</xdr:row>
      <xdr:rowOff>285750</xdr:rowOff>
    </xdr:to>
    <xdr:pic>
      <xdr:nvPicPr>
        <xdr:cNvPr id="3" name="Picture 11994" descr="http://jumesyn.celestialdamnation.com/guide/weapons/anchor_spin.gif"/>
        <xdr:cNvPicPr>
          <a:picLocks noChangeAspect="1" noChangeArrowheads="1"/>
        </xdr:cNvPicPr>
      </xdr:nvPicPr>
      <xdr:blipFill>
        <a:blip xmlns:r="http://schemas.openxmlformats.org/officeDocument/2006/relationships" r:embed="rId2" cstate="print"/>
        <a:srcRect/>
        <a:stretch>
          <a:fillRect/>
        </a:stretch>
      </xdr:blipFill>
      <xdr:spPr bwMode="auto">
        <a:xfrm>
          <a:off x="4876800" y="609600"/>
          <a:ext cx="285750" cy="285750"/>
        </a:xfrm>
        <a:prstGeom prst="rect">
          <a:avLst/>
        </a:prstGeom>
        <a:noFill/>
      </xdr:spPr>
    </xdr:pic>
    <xdr:clientData/>
  </xdr:twoCellAnchor>
  <xdr:twoCellAnchor>
    <xdr:from>
      <xdr:col>8</xdr:col>
      <xdr:colOff>0</xdr:colOff>
      <xdr:row>4</xdr:row>
      <xdr:rowOff>0</xdr:rowOff>
    </xdr:from>
    <xdr:to>
      <xdr:col>8</xdr:col>
      <xdr:colOff>285750</xdr:colOff>
      <xdr:row>4</xdr:row>
      <xdr:rowOff>285750</xdr:rowOff>
    </xdr:to>
    <xdr:pic>
      <xdr:nvPicPr>
        <xdr:cNvPr id="4" name="Picture 11995" descr="http://jumesyn.celestialdamnation.com/guide/weapons/anchor_crash.gif"/>
        <xdr:cNvPicPr>
          <a:picLocks noChangeAspect="1" noChangeArrowheads="1"/>
        </xdr:cNvPicPr>
      </xdr:nvPicPr>
      <xdr:blipFill>
        <a:blip xmlns:r="http://schemas.openxmlformats.org/officeDocument/2006/relationships" r:embed="rId3" cstate="print"/>
        <a:srcRect/>
        <a:stretch>
          <a:fillRect/>
        </a:stretch>
      </xdr:blipFill>
      <xdr:spPr bwMode="auto">
        <a:xfrm>
          <a:off x="4876800" y="952500"/>
          <a:ext cx="285750" cy="285750"/>
        </a:xfrm>
        <a:prstGeom prst="rect">
          <a:avLst/>
        </a:prstGeom>
        <a:noFill/>
      </xdr:spPr>
    </xdr:pic>
    <xdr:clientData/>
  </xdr:twoCellAnchor>
  <xdr:twoCellAnchor>
    <xdr:from>
      <xdr:col>8</xdr:col>
      <xdr:colOff>0</xdr:colOff>
      <xdr:row>5</xdr:row>
      <xdr:rowOff>0</xdr:rowOff>
    </xdr:from>
    <xdr:to>
      <xdr:col>8</xdr:col>
      <xdr:colOff>285750</xdr:colOff>
      <xdr:row>6</xdr:row>
      <xdr:rowOff>19050</xdr:rowOff>
    </xdr:to>
    <xdr:pic>
      <xdr:nvPicPr>
        <xdr:cNvPr id="5" name="Picture 11996" descr="http://jumesyn.celestialdamnation.com/guide/weapons/anchor_gravity.gif"/>
        <xdr:cNvPicPr>
          <a:picLocks noChangeAspect="1" noChangeArrowheads="1"/>
        </xdr:cNvPicPr>
      </xdr:nvPicPr>
      <xdr:blipFill>
        <a:blip xmlns:r="http://schemas.openxmlformats.org/officeDocument/2006/relationships" r:embed="rId4" cstate="print"/>
        <a:srcRect/>
        <a:stretch>
          <a:fillRect/>
        </a:stretch>
      </xdr:blipFill>
      <xdr:spPr bwMode="auto">
        <a:xfrm>
          <a:off x="4876800" y="1409700"/>
          <a:ext cx="285750" cy="247650"/>
        </a:xfrm>
        <a:prstGeom prst="rect">
          <a:avLst/>
        </a:prstGeom>
        <a:noFill/>
      </xdr:spPr>
    </xdr:pic>
    <xdr:clientData/>
  </xdr:twoCellAnchor>
  <xdr:twoCellAnchor>
    <xdr:from>
      <xdr:col>8</xdr:col>
      <xdr:colOff>0</xdr:colOff>
      <xdr:row>7</xdr:row>
      <xdr:rowOff>0</xdr:rowOff>
    </xdr:from>
    <xdr:to>
      <xdr:col>8</xdr:col>
      <xdr:colOff>285750</xdr:colOff>
      <xdr:row>8</xdr:row>
      <xdr:rowOff>19050</xdr:rowOff>
    </xdr:to>
    <xdr:pic>
      <xdr:nvPicPr>
        <xdr:cNvPr id="6" name="Picture 11997" descr="http://jumesyn.celestialdamnation.com/guide/weapons/anchor_plasma.gif"/>
        <xdr:cNvPicPr>
          <a:picLocks noChangeAspect="1" noChangeArrowheads="1"/>
        </xdr:cNvPicPr>
      </xdr:nvPicPr>
      <xdr:blipFill>
        <a:blip xmlns:r="http://schemas.openxmlformats.org/officeDocument/2006/relationships" r:embed="rId5" cstate="print"/>
        <a:srcRect/>
        <a:stretch>
          <a:fillRect/>
        </a:stretch>
      </xdr:blipFill>
      <xdr:spPr bwMode="auto">
        <a:xfrm>
          <a:off x="4876800" y="1866900"/>
          <a:ext cx="285750" cy="247650"/>
        </a:xfrm>
        <a:prstGeom prst="rect">
          <a:avLst/>
        </a:prstGeom>
        <a:noFill/>
      </xdr:spPr>
    </xdr:pic>
    <xdr:clientData/>
  </xdr:twoCellAnchor>
  <xdr:twoCellAnchor>
    <xdr:from>
      <xdr:col>8</xdr:col>
      <xdr:colOff>0</xdr:colOff>
      <xdr:row>13</xdr:row>
      <xdr:rowOff>0</xdr:rowOff>
    </xdr:from>
    <xdr:to>
      <xdr:col>8</xdr:col>
      <xdr:colOff>285750</xdr:colOff>
      <xdr:row>14</xdr:row>
      <xdr:rowOff>19050</xdr:rowOff>
    </xdr:to>
    <xdr:pic>
      <xdr:nvPicPr>
        <xdr:cNvPr id="7" name="Picture 12027" descr="http://jumesyn.celestialdamnation.com/guide/weapons/beak_pen.gif"/>
        <xdr:cNvPicPr>
          <a:picLocks noChangeAspect="1" noChangeArrowheads="1"/>
        </xdr:cNvPicPr>
      </xdr:nvPicPr>
      <xdr:blipFill>
        <a:blip xmlns:r="http://schemas.openxmlformats.org/officeDocument/2006/relationships" r:embed="rId6" cstate="print"/>
        <a:srcRect/>
        <a:stretch>
          <a:fillRect/>
        </a:stretch>
      </xdr:blipFill>
      <xdr:spPr bwMode="auto">
        <a:xfrm>
          <a:off x="4876800" y="3048000"/>
          <a:ext cx="285750" cy="247650"/>
        </a:xfrm>
        <a:prstGeom prst="rect">
          <a:avLst/>
        </a:prstGeom>
        <a:noFill/>
      </xdr:spPr>
    </xdr:pic>
    <xdr:clientData/>
  </xdr:twoCellAnchor>
  <xdr:twoCellAnchor>
    <xdr:from>
      <xdr:col>8</xdr:col>
      <xdr:colOff>0</xdr:colOff>
      <xdr:row>14</xdr:row>
      <xdr:rowOff>0</xdr:rowOff>
    </xdr:from>
    <xdr:to>
      <xdr:col>8</xdr:col>
      <xdr:colOff>285750</xdr:colOff>
      <xdr:row>15</xdr:row>
      <xdr:rowOff>19050</xdr:rowOff>
    </xdr:to>
    <xdr:pic>
      <xdr:nvPicPr>
        <xdr:cNvPr id="8" name="Picture 12028" descr="http://jumesyn.celestialdamnation.com/guide/weapons/beak_penko.gif"/>
        <xdr:cNvPicPr>
          <a:picLocks noChangeAspect="1" noChangeArrowheads="1"/>
        </xdr:cNvPicPr>
      </xdr:nvPicPr>
      <xdr:blipFill>
        <a:blip xmlns:r="http://schemas.openxmlformats.org/officeDocument/2006/relationships" r:embed="rId7" cstate="print"/>
        <a:srcRect/>
        <a:stretch>
          <a:fillRect/>
        </a:stretch>
      </xdr:blipFill>
      <xdr:spPr bwMode="auto">
        <a:xfrm>
          <a:off x="4876800" y="3276600"/>
          <a:ext cx="285750" cy="247650"/>
        </a:xfrm>
        <a:prstGeom prst="rect">
          <a:avLst/>
        </a:prstGeom>
        <a:noFill/>
      </xdr:spPr>
    </xdr:pic>
    <xdr:clientData/>
  </xdr:twoCellAnchor>
  <xdr:twoCellAnchor>
    <xdr:from>
      <xdr:col>8</xdr:col>
      <xdr:colOff>0</xdr:colOff>
      <xdr:row>15</xdr:row>
      <xdr:rowOff>0</xdr:rowOff>
    </xdr:from>
    <xdr:to>
      <xdr:col>8</xdr:col>
      <xdr:colOff>285750</xdr:colOff>
      <xdr:row>15</xdr:row>
      <xdr:rowOff>285750</xdr:rowOff>
    </xdr:to>
    <xdr:pic>
      <xdr:nvPicPr>
        <xdr:cNvPr id="9" name="Picture 12029" descr="http://jumesyn.celestialdamnation.com/guide/weapons/beak_silver.gif"/>
        <xdr:cNvPicPr>
          <a:picLocks noChangeAspect="1" noChangeArrowheads="1"/>
        </xdr:cNvPicPr>
      </xdr:nvPicPr>
      <xdr:blipFill>
        <a:blip xmlns:r="http://schemas.openxmlformats.org/officeDocument/2006/relationships" r:embed="rId8" cstate="print"/>
        <a:srcRect/>
        <a:stretch>
          <a:fillRect/>
        </a:stretch>
      </xdr:blipFill>
      <xdr:spPr bwMode="auto">
        <a:xfrm>
          <a:off x="4876800" y="3505200"/>
          <a:ext cx="285750" cy="285750"/>
        </a:xfrm>
        <a:prstGeom prst="rect">
          <a:avLst/>
        </a:prstGeom>
        <a:noFill/>
      </xdr:spPr>
    </xdr:pic>
    <xdr:clientData/>
  </xdr:twoCellAnchor>
  <xdr:twoCellAnchor>
    <xdr:from>
      <xdr:col>8</xdr:col>
      <xdr:colOff>0</xdr:colOff>
      <xdr:row>17</xdr:row>
      <xdr:rowOff>0</xdr:rowOff>
    </xdr:from>
    <xdr:to>
      <xdr:col>8</xdr:col>
      <xdr:colOff>285750</xdr:colOff>
      <xdr:row>18</xdr:row>
      <xdr:rowOff>19050</xdr:rowOff>
    </xdr:to>
    <xdr:pic>
      <xdr:nvPicPr>
        <xdr:cNvPr id="10" name="Picture 12030" descr="http://jumesyn.celestialdamnation.com/guide/weapons/beak_rainbow.gif"/>
        <xdr:cNvPicPr>
          <a:picLocks noChangeAspect="1" noChangeArrowheads="1"/>
        </xdr:cNvPicPr>
      </xdr:nvPicPr>
      <xdr:blipFill>
        <a:blip xmlns:r="http://schemas.openxmlformats.org/officeDocument/2006/relationships" r:embed="rId9" cstate="print"/>
        <a:srcRect/>
        <a:stretch>
          <a:fillRect/>
        </a:stretch>
      </xdr:blipFill>
      <xdr:spPr bwMode="auto">
        <a:xfrm>
          <a:off x="4876800" y="4076700"/>
          <a:ext cx="285750" cy="247650"/>
        </a:xfrm>
        <a:prstGeom prst="rect">
          <a:avLst/>
        </a:prstGeom>
        <a:noFill/>
      </xdr:spPr>
    </xdr:pic>
    <xdr:clientData/>
  </xdr:twoCellAnchor>
  <xdr:twoCellAnchor>
    <xdr:from>
      <xdr:col>8</xdr:col>
      <xdr:colOff>0</xdr:colOff>
      <xdr:row>18</xdr:row>
      <xdr:rowOff>0</xdr:rowOff>
    </xdr:from>
    <xdr:to>
      <xdr:col>8</xdr:col>
      <xdr:colOff>285750</xdr:colOff>
      <xdr:row>19</xdr:row>
      <xdr:rowOff>19050</xdr:rowOff>
    </xdr:to>
    <xdr:pic>
      <xdr:nvPicPr>
        <xdr:cNvPr id="11" name="Picture 12031" descr="http://jumesyn.celestialdamnation.com/guide/weapons/beak_golden.gif"/>
        <xdr:cNvPicPr>
          <a:picLocks noChangeAspect="1" noChangeArrowheads="1"/>
        </xdr:cNvPicPr>
      </xdr:nvPicPr>
      <xdr:blipFill>
        <a:blip xmlns:r="http://schemas.openxmlformats.org/officeDocument/2006/relationships" r:embed="rId10" cstate="print"/>
        <a:srcRect/>
        <a:stretch>
          <a:fillRect/>
        </a:stretch>
      </xdr:blipFill>
      <xdr:spPr bwMode="auto">
        <a:xfrm>
          <a:off x="4876800" y="4305300"/>
          <a:ext cx="285750" cy="247650"/>
        </a:xfrm>
        <a:prstGeom prst="rect">
          <a:avLst/>
        </a:prstGeom>
        <a:noFill/>
      </xdr:spPr>
    </xdr:pic>
    <xdr:clientData/>
  </xdr:twoCellAnchor>
  <xdr:twoCellAnchor>
    <xdr:from>
      <xdr:col>8</xdr:col>
      <xdr:colOff>0</xdr:colOff>
      <xdr:row>24</xdr:row>
      <xdr:rowOff>0</xdr:rowOff>
    </xdr:from>
    <xdr:to>
      <xdr:col>8</xdr:col>
      <xdr:colOff>285750</xdr:colOff>
      <xdr:row>25</xdr:row>
      <xdr:rowOff>85725</xdr:rowOff>
    </xdr:to>
    <xdr:pic>
      <xdr:nvPicPr>
        <xdr:cNvPr id="12" name="Picture 12145" descr="http://jumesyn.celestialdamnation.com/guide/weapons/horn.gif"/>
        <xdr:cNvPicPr>
          <a:picLocks noChangeAspect="1" noChangeArrowheads="1"/>
        </xdr:cNvPicPr>
      </xdr:nvPicPr>
      <xdr:blipFill>
        <a:blip xmlns:r="http://schemas.openxmlformats.org/officeDocument/2006/relationships" r:embed="rId11" cstate="print"/>
        <a:srcRect/>
        <a:stretch>
          <a:fillRect/>
        </a:stretch>
      </xdr:blipFill>
      <xdr:spPr bwMode="auto">
        <a:xfrm>
          <a:off x="4876800" y="5867400"/>
          <a:ext cx="285750" cy="285750"/>
        </a:xfrm>
        <a:prstGeom prst="rect">
          <a:avLst/>
        </a:prstGeom>
        <a:noFill/>
      </xdr:spPr>
    </xdr:pic>
    <xdr:clientData/>
  </xdr:twoCellAnchor>
  <xdr:twoCellAnchor>
    <xdr:from>
      <xdr:col>8</xdr:col>
      <xdr:colOff>0</xdr:colOff>
      <xdr:row>25</xdr:row>
      <xdr:rowOff>0</xdr:rowOff>
    </xdr:from>
    <xdr:to>
      <xdr:col>8</xdr:col>
      <xdr:colOff>285750</xdr:colOff>
      <xdr:row>25</xdr:row>
      <xdr:rowOff>285750</xdr:rowOff>
    </xdr:to>
    <xdr:pic>
      <xdr:nvPicPr>
        <xdr:cNvPr id="13" name="Picture 12146" descr="http://jumesyn.celestialdamnation.com/guide/weapons/horn.gif"/>
        <xdr:cNvPicPr>
          <a:picLocks noChangeAspect="1" noChangeArrowheads="1"/>
        </xdr:cNvPicPr>
      </xdr:nvPicPr>
      <xdr:blipFill>
        <a:blip xmlns:r="http://schemas.openxmlformats.org/officeDocument/2006/relationships" r:embed="rId11" cstate="print"/>
        <a:srcRect/>
        <a:stretch>
          <a:fillRect/>
        </a:stretch>
      </xdr:blipFill>
      <xdr:spPr bwMode="auto">
        <a:xfrm>
          <a:off x="4876800" y="6067425"/>
          <a:ext cx="285750" cy="228600"/>
        </a:xfrm>
        <a:prstGeom prst="rect">
          <a:avLst/>
        </a:prstGeom>
        <a:noFill/>
      </xdr:spPr>
    </xdr:pic>
    <xdr:clientData/>
  </xdr:twoCellAnchor>
  <xdr:twoCellAnchor>
    <xdr:from>
      <xdr:col>8</xdr:col>
      <xdr:colOff>0</xdr:colOff>
      <xdr:row>30</xdr:row>
      <xdr:rowOff>0</xdr:rowOff>
    </xdr:from>
    <xdr:to>
      <xdr:col>8</xdr:col>
      <xdr:colOff>285750</xdr:colOff>
      <xdr:row>30</xdr:row>
      <xdr:rowOff>285750</xdr:rowOff>
    </xdr:to>
    <xdr:pic>
      <xdr:nvPicPr>
        <xdr:cNvPr id="14" name="Picture 22" descr="http://jumesyn.celestialdamnation.com/guide/weapons/staff_besem.gif"/>
        <xdr:cNvPicPr>
          <a:picLocks noChangeAspect="1" noChangeArrowheads="1"/>
        </xdr:cNvPicPr>
      </xdr:nvPicPr>
      <xdr:blipFill>
        <a:blip xmlns:r="http://schemas.openxmlformats.org/officeDocument/2006/relationships" r:embed="rId12" cstate="print"/>
        <a:srcRect/>
        <a:stretch>
          <a:fillRect/>
        </a:stretch>
      </xdr:blipFill>
      <xdr:spPr bwMode="auto">
        <a:xfrm>
          <a:off x="4876800" y="7058025"/>
          <a:ext cx="285750" cy="285750"/>
        </a:xfrm>
        <a:prstGeom prst="rect">
          <a:avLst/>
        </a:prstGeom>
        <a:noFill/>
      </xdr:spPr>
    </xdr:pic>
    <xdr:clientData/>
  </xdr:twoCellAnchor>
  <xdr:twoCellAnchor>
    <xdr:from>
      <xdr:col>8</xdr:col>
      <xdr:colOff>0</xdr:colOff>
      <xdr:row>31</xdr:row>
      <xdr:rowOff>0</xdr:rowOff>
    </xdr:from>
    <xdr:to>
      <xdr:col>8</xdr:col>
      <xdr:colOff>285750</xdr:colOff>
      <xdr:row>31</xdr:row>
      <xdr:rowOff>285750</xdr:rowOff>
    </xdr:to>
    <xdr:pic>
      <xdr:nvPicPr>
        <xdr:cNvPr id="15" name="Picture 23" descr="http://jumesyn.celestialdamnation.com/guide/weapons/staff_besem.gif"/>
        <xdr:cNvPicPr>
          <a:picLocks noChangeAspect="1" noChangeArrowheads="1"/>
        </xdr:cNvPicPr>
      </xdr:nvPicPr>
      <xdr:blipFill>
        <a:blip xmlns:r="http://schemas.openxmlformats.org/officeDocument/2006/relationships" r:embed="rId12" cstate="print"/>
        <a:srcRect/>
        <a:stretch>
          <a:fillRect/>
        </a:stretch>
      </xdr:blipFill>
      <xdr:spPr bwMode="auto">
        <a:xfrm>
          <a:off x="4876800" y="7515225"/>
          <a:ext cx="285750" cy="285750"/>
        </a:xfrm>
        <a:prstGeom prst="rect">
          <a:avLst/>
        </a:prstGeom>
        <a:noFill/>
      </xdr:spPr>
    </xdr:pic>
    <xdr:clientData/>
  </xdr:twoCellAnchor>
  <xdr:twoCellAnchor>
    <xdr:from>
      <xdr:col>8</xdr:col>
      <xdr:colOff>0</xdr:colOff>
      <xdr:row>35</xdr:row>
      <xdr:rowOff>0</xdr:rowOff>
    </xdr:from>
    <xdr:to>
      <xdr:col>8</xdr:col>
      <xdr:colOff>285750</xdr:colOff>
      <xdr:row>36</xdr:row>
      <xdr:rowOff>19050</xdr:rowOff>
    </xdr:to>
    <xdr:pic>
      <xdr:nvPicPr>
        <xdr:cNvPr id="16" name="Picture 36" descr="http://jumesyn.celestialdamnation.com/guide/weapons/hooked_claw.gif"/>
        <xdr:cNvPicPr>
          <a:picLocks noChangeAspect="1" noChangeArrowheads="1"/>
        </xdr:cNvPicPr>
      </xdr:nvPicPr>
      <xdr:blipFill>
        <a:blip xmlns:r="http://schemas.openxmlformats.org/officeDocument/2006/relationships" r:embed="rId13" cstate="print"/>
        <a:srcRect/>
        <a:stretch>
          <a:fillRect/>
        </a:stretch>
      </xdr:blipFill>
      <xdr:spPr bwMode="auto">
        <a:xfrm>
          <a:off x="4876800" y="8543925"/>
          <a:ext cx="285750" cy="247650"/>
        </a:xfrm>
        <a:prstGeom prst="rect">
          <a:avLst/>
        </a:prstGeom>
        <a:noFill/>
      </xdr:spPr>
    </xdr:pic>
    <xdr:clientData/>
  </xdr:twoCellAnchor>
  <xdr:twoCellAnchor>
    <xdr:from>
      <xdr:col>8</xdr:col>
      <xdr:colOff>0</xdr:colOff>
      <xdr:row>36</xdr:row>
      <xdr:rowOff>0</xdr:rowOff>
    </xdr:from>
    <xdr:to>
      <xdr:col>8</xdr:col>
      <xdr:colOff>285750</xdr:colOff>
      <xdr:row>36</xdr:row>
      <xdr:rowOff>285750</xdr:rowOff>
    </xdr:to>
    <xdr:pic>
      <xdr:nvPicPr>
        <xdr:cNvPr id="17" name="Picture 37" descr="http://jumesyn.celestialdamnation.com/guide/weapons/hooked_claw.gif"/>
        <xdr:cNvPicPr>
          <a:picLocks noChangeAspect="1" noChangeArrowheads="1"/>
        </xdr:cNvPicPr>
      </xdr:nvPicPr>
      <xdr:blipFill>
        <a:blip xmlns:r="http://schemas.openxmlformats.org/officeDocument/2006/relationships" r:embed="rId13" cstate="print"/>
        <a:srcRect/>
        <a:stretch>
          <a:fillRect/>
        </a:stretch>
      </xdr:blipFill>
      <xdr:spPr bwMode="auto">
        <a:xfrm>
          <a:off x="4876800" y="8772525"/>
          <a:ext cx="285750" cy="228600"/>
        </a:xfrm>
        <a:prstGeom prst="rect">
          <a:avLst/>
        </a:prstGeom>
        <a:noFill/>
      </xdr:spPr>
    </xdr:pic>
    <xdr:clientData/>
  </xdr:twoCellAnchor>
  <xdr:twoCellAnchor>
    <xdr:from>
      <xdr:col>8</xdr:col>
      <xdr:colOff>0</xdr:colOff>
      <xdr:row>41</xdr:row>
      <xdr:rowOff>0</xdr:rowOff>
    </xdr:from>
    <xdr:to>
      <xdr:col>8</xdr:col>
      <xdr:colOff>285750</xdr:colOff>
      <xdr:row>42</xdr:row>
      <xdr:rowOff>19050</xdr:rowOff>
    </xdr:to>
    <xdr:pic>
      <xdr:nvPicPr>
        <xdr:cNvPr id="18" name="Picture 56" descr="http://jumesyn.celestialdamnation.com/guide/weapons/whip_chain.gif"/>
        <xdr:cNvPicPr>
          <a:picLocks noChangeAspect="1" noChangeArrowheads="1"/>
        </xdr:cNvPicPr>
      </xdr:nvPicPr>
      <xdr:blipFill>
        <a:blip xmlns:r="http://schemas.openxmlformats.org/officeDocument/2006/relationships" r:embed="rId14" cstate="print"/>
        <a:srcRect/>
        <a:stretch>
          <a:fillRect/>
        </a:stretch>
      </xdr:blipFill>
      <xdr:spPr bwMode="auto">
        <a:xfrm>
          <a:off x="4876800" y="9763125"/>
          <a:ext cx="285750" cy="219075"/>
        </a:xfrm>
        <a:prstGeom prst="rect">
          <a:avLst/>
        </a:prstGeom>
        <a:noFill/>
      </xdr:spPr>
    </xdr:pic>
    <xdr:clientData/>
  </xdr:twoCellAnchor>
  <xdr:twoCellAnchor>
    <xdr:from>
      <xdr:col>8</xdr:col>
      <xdr:colOff>0</xdr:colOff>
      <xdr:row>42</xdr:row>
      <xdr:rowOff>0</xdr:rowOff>
    </xdr:from>
    <xdr:to>
      <xdr:col>8</xdr:col>
      <xdr:colOff>285750</xdr:colOff>
      <xdr:row>42</xdr:row>
      <xdr:rowOff>285750</xdr:rowOff>
    </xdr:to>
    <xdr:pic>
      <xdr:nvPicPr>
        <xdr:cNvPr id="19" name="Picture 57" descr="http://jumesyn.celestialdamnation.com/guide/weapons/whip_love.gif"/>
        <xdr:cNvPicPr>
          <a:picLocks noChangeAspect="1" noChangeArrowheads="1"/>
        </xdr:cNvPicPr>
      </xdr:nvPicPr>
      <xdr:blipFill>
        <a:blip xmlns:r="http://schemas.openxmlformats.org/officeDocument/2006/relationships" r:embed="rId15" cstate="print"/>
        <a:srcRect/>
        <a:stretch>
          <a:fillRect/>
        </a:stretch>
      </xdr:blipFill>
      <xdr:spPr bwMode="auto">
        <a:xfrm>
          <a:off x="4876800" y="9963150"/>
          <a:ext cx="285750" cy="285750"/>
        </a:xfrm>
        <a:prstGeom prst="rect">
          <a:avLst/>
        </a:prstGeom>
        <a:noFill/>
      </xdr:spPr>
    </xdr:pic>
    <xdr:clientData/>
  </xdr:twoCellAnchor>
  <xdr:twoCellAnchor>
    <xdr:from>
      <xdr:col>8</xdr:col>
      <xdr:colOff>0</xdr:colOff>
      <xdr:row>43</xdr:row>
      <xdr:rowOff>0</xdr:rowOff>
    </xdr:from>
    <xdr:to>
      <xdr:col>8</xdr:col>
      <xdr:colOff>285750</xdr:colOff>
      <xdr:row>43</xdr:row>
      <xdr:rowOff>285750</xdr:rowOff>
    </xdr:to>
    <xdr:pic>
      <xdr:nvPicPr>
        <xdr:cNvPr id="20" name="Picture 58" descr="http://jumesyn.celestialdamnation.com/guide/weapons/whip_muchi.gif"/>
        <xdr:cNvPicPr>
          <a:picLocks noChangeAspect="1" noChangeArrowheads="1"/>
        </xdr:cNvPicPr>
      </xdr:nvPicPr>
      <xdr:blipFill>
        <a:blip xmlns:r="http://schemas.openxmlformats.org/officeDocument/2006/relationships" r:embed="rId16" cstate="print"/>
        <a:srcRect/>
        <a:stretch>
          <a:fillRect/>
        </a:stretch>
      </xdr:blipFill>
      <xdr:spPr bwMode="auto">
        <a:xfrm>
          <a:off x="4876800" y="10420350"/>
          <a:ext cx="285750" cy="285750"/>
        </a:xfrm>
        <a:prstGeom prst="rect">
          <a:avLst/>
        </a:prstGeom>
        <a:noFill/>
      </xdr:spPr>
    </xdr:pic>
    <xdr:clientData/>
  </xdr:twoCellAnchor>
  <xdr:twoCellAnchor>
    <xdr:from>
      <xdr:col>8</xdr:col>
      <xdr:colOff>0</xdr:colOff>
      <xdr:row>44</xdr:row>
      <xdr:rowOff>0</xdr:rowOff>
    </xdr:from>
    <xdr:to>
      <xdr:col>8</xdr:col>
      <xdr:colOff>285750</xdr:colOff>
      <xdr:row>45</xdr:row>
      <xdr:rowOff>19050</xdr:rowOff>
    </xdr:to>
    <xdr:pic>
      <xdr:nvPicPr>
        <xdr:cNvPr id="21" name="Picture 59" descr="http://jumesyn.celestialdamnation.com/guide/weapons/whip_queen.gif"/>
        <xdr:cNvPicPr>
          <a:picLocks noChangeAspect="1" noChangeArrowheads="1"/>
        </xdr:cNvPicPr>
      </xdr:nvPicPr>
      <xdr:blipFill>
        <a:blip xmlns:r="http://schemas.openxmlformats.org/officeDocument/2006/relationships" r:embed="rId17" cstate="print"/>
        <a:srcRect/>
        <a:stretch>
          <a:fillRect/>
        </a:stretch>
      </xdr:blipFill>
      <xdr:spPr bwMode="auto">
        <a:xfrm>
          <a:off x="4876800" y="10763250"/>
          <a:ext cx="285750" cy="247650"/>
        </a:xfrm>
        <a:prstGeom prst="rect">
          <a:avLst/>
        </a:prstGeom>
        <a:noFill/>
      </xdr:spPr>
    </xdr:pic>
    <xdr:clientData/>
  </xdr:twoCellAnchor>
  <xdr:twoCellAnchor>
    <xdr:from>
      <xdr:col>8</xdr:col>
      <xdr:colOff>0</xdr:colOff>
      <xdr:row>45</xdr:row>
      <xdr:rowOff>0</xdr:rowOff>
    </xdr:from>
    <xdr:to>
      <xdr:col>8</xdr:col>
      <xdr:colOff>285750</xdr:colOff>
      <xdr:row>46</xdr:row>
      <xdr:rowOff>19050</xdr:rowOff>
    </xdr:to>
    <xdr:pic>
      <xdr:nvPicPr>
        <xdr:cNvPr id="22" name="Picture 60" descr="http://jumesyn.celestialdamnation.com/guide/weapons/whip_silk.gif"/>
        <xdr:cNvPicPr>
          <a:picLocks noChangeAspect="1" noChangeArrowheads="1"/>
        </xdr:cNvPicPr>
      </xdr:nvPicPr>
      <xdr:blipFill>
        <a:blip xmlns:r="http://schemas.openxmlformats.org/officeDocument/2006/relationships" r:embed="rId18" cstate="print"/>
        <a:srcRect/>
        <a:stretch>
          <a:fillRect/>
        </a:stretch>
      </xdr:blipFill>
      <xdr:spPr bwMode="auto">
        <a:xfrm>
          <a:off x="4876800" y="10991850"/>
          <a:ext cx="285750" cy="247650"/>
        </a:xfrm>
        <a:prstGeom prst="rect">
          <a:avLst/>
        </a:prstGeom>
        <a:noFill/>
      </xdr:spPr>
    </xdr:pic>
    <xdr:clientData/>
  </xdr:twoCellAnchor>
</xdr:wsDr>
</file>

<file path=xl/tables/table1.xml><?xml version="1.0" encoding="utf-8"?>
<table xmlns="http://schemas.openxmlformats.org/spreadsheetml/2006/main" id="2" name="Table2" displayName="Table2" ref="A1:S31" totalsRowShown="0" headerRowDxfId="20" dataDxfId="19">
  <autoFilter ref="A1:S31"/>
  <tableColumns count="19">
    <tableColumn id="1" name="Initial Class" dataDxfId="18"/>
    <tableColumn id="2" name="HP" dataDxfId="17"/>
    <tableColumn id="3" name="MP" dataDxfId="16"/>
    <tableColumn id="4" name="ATT" dataDxfId="15"/>
    <tableColumn id="5" name="DEF" dataDxfId="14"/>
    <tableColumn id="6" name="AGI" dataDxfId="13"/>
    <tableColumn id="7" name="Promo 1" dataDxfId="12"/>
    <tableColumn id="8" name="HP 1" dataDxfId="11"/>
    <tableColumn id="9" name="MP 1" dataDxfId="10"/>
    <tableColumn id="10" name="ATT 1" dataDxfId="9"/>
    <tableColumn id="11" name="DEF 1" dataDxfId="8"/>
    <tableColumn id="12" name="AGI 1" dataDxfId="7"/>
    <tableColumn id="13" name="MISC" dataDxfId="6"/>
    <tableColumn id="14" name="Promo 2" dataDxfId="5"/>
    <tableColumn id="15" name="HP 2" dataDxfId="4"/>
    <tableColumn id="16" name="MP 2" dataDxfId="3"/>
    <tableColumn id="17" name="ATT 2" dataDxfId="2"/>
    <tableColumn id="18" name="DEF 2" dataDxfId="1"/>
    <tableColumn id="19" name="AGI 2"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O22"/>
  <sheetViews>
    <sheetView workbookViewId="0">
      <selection activeCell="A12" sqref="A12:XFD12"/>
    </sheetView>
  </sheetViews>
  <sheetFormatPr defaultRowHeight="15"/>
  <cols>
    <col min="1" max="1" width="14.5703125" bestFit="1" customWidth="1"/>
    <col min="2" max="2" width="4.85546875" customWidth="1"/>
    <col min="3" max="3" width="6.85546875" bestFit="1" customWidth="1"/>
    <col min="4" max="4" width="12.85546875" bestFit="1" customWidth="1"/>
    <col min="5" max="5" width="8.7109375" bestFit="1" customWidth="1"/>
    <col min="6" max="6" width="5.85546875" bestFit="1" customWidth="1"/>
    <col min="7" max="7" width="10.5703125" bestFit="1" customWidth="1"/>
    <col min="8" max="8" width="6" bestFit="1" customWidth="1"/>
    <col min="9" max="9" width="5.7109375" bestFit="1" customWidth="1"/>
    <col min="10" max="10" width="6.140625" bestFit="1" customWidth="1"/>
    <col min="11" max="11" width="13.28515625" bestFit="1" customWidth="1"/>
    <col min="12" max="12" width="5.5703125" bestFit="1" customWidth="1"/>
    <col min="13" max="13" width="7.7109375" bestFit="1" customWidth="1"/>
    <col min="14" max="14" width="7.140625" bestFit="1" customWidth="1"/>
    <col min="15" max="15" width="11.28515625" bestFit="1" customWidth="1"/>
    <col min="16" max="16" width="6" customWidth="1"/>
    <col min="17" max="17" width="12.85546875" bestFit="1" customWidth="1"/>
    <col min="18" max="18" width="14.42578125" bestFit="1" customWidth="1"/>
    <col min="19" max="20" width="14.7109375" bestFit="1" customWidth="1"/>
  </cols>
  <sheetData>
    <row r="1" spans="1:15">
      <c r="A1" s="1" t="s">
        <v>1</v>
      </c>
      <c r="C1" t="s">
        <v>25</v>
      </c>
      <c r="E1" t="s">
        <v>57</v>
      </c>
      <c r="F1" t="s">
        <v>72</v>
      </c>
      <c r="H1" t="s">
        <v>41</v>
      </c>
      <c r="J1" t="s">
        <v>24</v>
      </c>
      <c r="K1" t="s">
        <v>89</v>
      </c>
      <c r="L1" t="s">
        <v>47</v>
      </c>
      <c r="M1" t="s">
        <v>26</v>
      </c>
      <c r="N1" t="s">
        <v>203</v>
      </c>
      <c r="O1" s="2" t="s">
        <v>66</v>
      </c>
    </row>
    <row r="2" spans="1:15">
      <c r="A2" s="1" t="s">
        <v>2</v>
      </c>
      <c r="C2" t="s">
        <v>25</v>
      </c>
      <c r="D2" t="s">
        <v>34</v>
      </c>
      <c r="E2" t="s">
        <v>57</v>
      </c>
      <c r="F2" t="s">
        <v>72</v>
      </c>
      <c r="G2" t="s">
        <v>58</v>
      </c>
      <c r="H2" t="s">
        <v>41</v>
      </c>
      <c r="I2" t="s">
        <v>44</v>
      </c>
      <c r="J2" t="s">
        <v>24</v>
      </c>
      <c r="K2" t="s">
        <v>89</v>
      </c>
      <c r="L2" t="s">
        <v>47</v>
      </c>
      <c r="M2" t="s">
        <v>26</v>
      </c>
      <c r="N2" t="s">
        <v>203</v>
      </c>
    </row>
    <row r="3" spans="1:15">
      <c r="A3" s="1" t="s">
        <v>3</v>
      </c>
      <c r="C3" s="2" t="s">
        <v>22</v>
      </c>
      <c r="D3" s="2" t="s">
        <v>69</v>
      </c>
      <c r="E3" s="2" t="s">
        <v>46</v>
      </c>
      <c r="G3" t="s">
        <v>58</v>
      </c>
      <c r="H3" t="s">
        <v>41</v>
      </c>
      <c r="L3" t="s">
        <v>47</v>
      </c>
      <c r="N3" t="s">
        <v>203</v>
      </c>
    </row>
    <row r="4" spans="1:15">
      <c r="A4" s="1" t="s">
        <v>70</v>
      </c>
      <c r="O4" s="2" t="s">
        <v>75</v>
      </c>
    </row>
    <row r="5" spans="1:15">
      <c r="A5" s="1" t="s">
        <v>4</v>
      </c>
      <c r="C5" t="s">
        <v>25</v>
      </c>
      <c r="D5" t="s">
        <v>34</v>
      </c>
      <c r="E5" t="s">
        <v>57</v>
      </c>
      <c r="F5" t="s">
        <v>72</v>
      </c>
      <c r="G5" t="s">
        <v>58</v>
      </c>
      <c r="H5" t="s">
        <v>41</v>
      </c>
      <c r="I5" t="s">
        <v>44</v>
      </c>
      <c r="J5" t="s">
        <v>24</v>
      </c>
      <c r="K5" t="s">
        <v>89</v>
      </c>
      <c r="L5" t="s">
        <v>47</v>
      </c>
      <c r="M5" t="s">
        <v>26</v>
      </c>
      <c r="N5" t="s">
        <v>203</v>
      </c>
      <c r="O5" s="2" t="s">
        <v>68</v>
      </c>
    </row>
    <row r="6" spans="1:15">
      <c r="A6" s="1" t="s">
        <v>5</v>
      </c>
      <c r="C6" t="s">
        <v>25</v>
      </c>
      <c r="D6" t="s">
        <v>34</v>
      </c>
      <c r="E6" t="s">
        <v>57</v>
      </c>
      <c r="F6" t="s">
        <v>72</v>
      </c>
      <c r="G6" t="s">
        <v>58</v>
      </c>
      <c r="H6" t="s">
        <v>41</v>
      </c>
      <c r="I6" t="s">
        <v>44</v>
      </c>
      <c r="J6" t="s">
        <v>24</v>
      </c>
      <c r="K6" t="s">
        <v>89</v>
      </c>
      <c r="L6" t="s">
        <v>47</v>
      </c>
      <c r="M6" t="s">
        <v>26</v>
      </c>
      <c r="N6" t="s">
        <v>203</v>
      </c>
    </row>
    <row r="7" spans="1:15">
      <c r="A7" s="1" t="s">
        <v>6</v>
      </c>
      <c r="C7" t="s">
        <v>25</v>
      </c>
      <c r="D7" t="s">
        <v>34</v>
      </c>
      <c r="E7" t="s">
        <v>57</v>
      </c>
      <c r="F7" t="s">
        <v>72</v>
      </c>
      <c r="G7" t="s">
        <v>58</v>
      </c>
      <c r="H7" t="s">
        <v>41</v>
      </c>
      <c r="I7" t="s">
        <v>44</v>
      </c>
      <c r="J7" t="s">
        <v>24</v>
      </c>
      <c r="K7" t="s">
        <v>89</v>
      </c>
      <c r="L7" t="s">
        <v>47</v>
      </c>
      <c r="M7" t="s">
        <v>26</v>
      </c>
      <c r="N7" t="s">
        <v>203</v>
      </c>
    </row>
    <row r="8" spans="1:15">
      <c r="A8" s="1" t="s">
        <v>7</v>
      </c>
      <c r="C8" t="s">
        <v>25</v>
      </c>
      <c r="D8" t="s">
        <v>34</v>
      </c>
      <c r="E8" t="s">
        <v>57</v>
      </c>
      <c r="F8" t="s">
        <v>72</v>
      </c>
      <c r="G8" t="s">
        <v>58</v>
      </c>
      <c r="H8" t="s">
        <v>41</v>
      </c>
      <c r="I8" t="s">
        <v>44</v>
      </c>
      <c r="J8" t="s">
        <v>24</v>
      </c>
      <c r="K8" t="s">
        <v>89</v>
      </c>
      <c r="L8" t="s">
        <v>47</v>
      </c>
      <c r="M8" t="s">
        <v>26</v>
      </c>
      <c r="N8" t="s">
        <v>203</v>
      </c>
    </row>
    <row r="9" spans="1:15">
      <c r="A9" s="1" t="s">
        <v>14</v>
      </c>
      <c r="O9" s="2" t="s">
        <v>20</v>
      </c>
    </row>
    <row r="10" spans="1:15">
      <c r="A10" s="1" t="s">
        <v>13</v>
      </c>
      <c r="C10" t="s">
        <v>25</v>
      </c>
      <c r="D10" t="s">
        <v>34</v>
      </c>
      <c r="E10" t="s">
        <v>57</v>
      </c>
      <c r="F10" t="s">
        <v>72</v>
      </c>
      <c r="G10" t="s">
        <v>58</v>
      </c>
      <c r="H10" t="s">
        <v>41</v>
      </c>
      <c r="I10" t="s">
        <v>44</v>
      </c>
      <c r="J10" t="s">
        <v>24</v>
      </c>
      <c r="K10" t="s">
        <v>89</v>
      </c>
      <c r="L10" t="s">
        <v>47</v>
      </c>
      <c r="M10" t="s">
        <v>26</v>
      </c>
      <c r="N10" t="s">
        <v>203</v>
      </c>
    </row>
    <row r="11" spans="1:15">
      <c r="A11" s="1" t="s">
        <v>16</v>
      </c>
      <c r="O11" s="2" t="s">
        <v>16</v>
      </c>
    </row>
    <row r="12" spans="1:15">
      <c r="A12" s="1" t="s">
        <v>8</v>
      </c>
      <c r="C12" t="s">
        <v>25</v>
      </c>
      <c r="D12" t="s">
        <v>34</v>
      </c>
      <c r="E12" t="s">
        <v>57</v>
      </c>
      <c r="F12" t="s">
        <v>72</v>
      </c>
      <c r="G12" t="s">
        <v>58</v>
      </c>
      <c r="H12" t="s">
        <v>41</v>
      </c>
      <c r="I12" t="s">
        <v>44</v>
      </c>
      <c r="J12" t="s">
        <v>24</v>
      </c>
      <c r="K12" t="s">
        <v>89</v>
      </c>
      <c r="L12" t="s">
        <v>47</v>
      </c>
      <c r="M12" t="s">
        <v>26</v>
      </c>
      <c r="N12" t="s">
        <v>203</v>
      </c>
    </row>
    <row r="13" spans="1:15">
      <c r="A13" s="1" t="s">
        <v>9</v>
      </c>
      <c r="C13" t="s">
        <v>25</v>
      </c>
      <c r="D13" t="s">
        <v>34</v>
      </c>
      <c r="E13" t="s">
        <v>57</v>
      </c>
      <c r="F13" t="s">
        <v>72</v>
      </c>
      <c r="G13" t="s">
        <v>58</v>
      </c>
      <c r="H13" t="s">
        <v>41</v>
      </c>
      <c r="I13" t="s">
        <v>44</v>
      </c>
      <c r="J13" t="s">
        <v>24</v>
      </c>
      <c r="K13" t="s">
        <v>89</v>
      </c>
      <c r="L13" t="s">
        <v>47</v>
      </c>
      <c r="M13" t="s">
        <v>26</v>
      </c>
      <c r="N13" t="s">
        <v>203</v>
      </c>
    </row>
    <row r="14" spans="1:15">
      <c r="A14" s="1" t="s">
        <v>0</v>
      </c>
      <c r="C14" t="s">
        <v>25</v>
      </c>
      <c r="D14" t="s">
        <v>34</v>
      </c>
      <c r="E14" t="s">
        <v>57</v>
      </c>
      <c r="F14" t="s">
        <v>72</v>
      </c>
      <c r="G14" t="s">
        <v>58</v>
      </c>
      <c r="H14" t="s">
        <v>41</v>
      </c>
      <c r="I14" t="s">
        <v>44</v>
      </c>
      <c r="J14" t="s">
        <v>24</v>
      </c>
      <c r="K14" t="s">
        <v>89</v>
      </c>
      <c r="L14" t="s">
        <v>47</v>
      </c>
      <c r="M14" t="s">
        <v>26</v>
      </c>
      <c r="N14" t="s">
        <v>203</v>
      </c>
      <c r="O14" s="2" t="s">
        <v>17</v>
      </c>
    </row>
    <row r="15" spans="1:15">
      <c r="A15" s="1" t="s">
        <v>10</v>
      </c>
      <c r="C15" t="s">
        <v>25</v>
      </c>
      <c r="D15" t="s">
        <v>34</v>
      </c>
      <c r="E15" t="s">
        <v>57</v>
      </c>
      <c r="F15" t="s">
        <v>72</v>
      </c>
      <c r="G15" t="s">
        <v>58</v>
      </c>
      <c r="H15" t="s">
        <v>41</v>
      </c>
      <c r="I15" t="s">
        <v>44</v>
      </c>
      <c r="J15" t="s">
        <v>24</v>
      </c>
      <c r="K15" t="s">
        <v>89</v>
      </c>
      <c r="L15" t="s">
        <v>47</v>
      </c>
      <c r="M15" t="s">
        <v>26</v>
      </c>
      <c r="N15" t="s">
        <v>203</v>
      </c>
    </row>
    <row r="16" spans="1:15">
      <c r="A16" s="1" t="s">
        <v>73</v>
      </c>
      <c r="C16" t="s">
        <v>25</v>
      </c>
      <c r="D16" t="s">
        <v>34</v>
      </c>
      <c r="E16" t="s">
        <v>57</v>
      </c>
      <c r="F16" t="s">
        <v>72</v>
      </c>
      <c r="G16" t="s">
        <v>58</v>
      </c>
      <c r="H16" t="s">
        <v>41</v>
      </c>
      <c r="I16" t="s">
        <v>44</v>
      </c>
      <c r="J16" t="s">
        <v>24</v>
      </c>
      <c r="K16" t="s">
        <v>89</v>
      </c>
      <c r="L16" t="s">
        <v>47</v>
      </c>
      <c r="M16" t="s">
        <v>26</v>
      </c>
      <c r="N16" t="s">
        <v>203</v>
      </c>
    </row>
    <row r="17" spans="1:15">
      <c r="A17" s="1" t="s">
        <v>11</v>
      </c>
      <c r="C17" t="s">
        <v>24</v>
      </c>
      <c r="D17" t="s">
        <v>72</v>
      </c>
    </row>
    <row r="18" spans="1:15">
      <c r="A18" s="1" t="s">
        <v>12</v>
      </c>
      <c r="C18" t="s">
        <v>25</v>
      </c>
      <c r="D18" t="s">
        <v>34</v>
      </c>
      <c r="E18" t="s">
        <v>57</v>
      </c>
      <c r="F18" t="s">
        <v>72</v>
      </c>
      <c r="G18" t="s">
        <v>58</v>
      </c>
      <c r="H18" t="s">
        <v>41</v>
      </c>
      <c r="I18" t="s">
        <v>44</v>
      </c>
      <c r="J18" t="s">
        <v>24</v>
      </c>
      <c r="K18" t="s">
        <v>89</v>
      </c>
      <c r="L18" t="s">
        <v>47</v>
      </c>
      <c r="M18" t="s">
        <v>26</v>
      </c>
      <c r="N18" t="s">
        <v>203</v>
      </c>
    </row>
    <row r="19" spans="1:15">
      <c r="A19" s="1" t="s">
        <v>15</v>
      </c>
      <c r="O19" s="2" t="s">
        <v>15</v>
      </c>
    </row>
    <row r="20" spans="1:15">
      <c r="A20" s="1" t="s">
        <v>74</v>
      </c>
      <c r="C20" t="s">
        <v>25</v>
      </c>
      <c r="D20" t="s">
        <v>34</v>
      </c>
      <c r="E20" t="s">
        <v>57</v>
      </c>
      <c r="F20" t="s">
        <v>72</v>
      </c>
      <c r="G20" t="s">
        <v>58</v>
      </c>
      <c r="H20" t="s">
        <v>41</v>
      </c>
      <c r="I20" t="s">
        <v>44</v>
      </c>
      <c r="J20" t="s">
        <v>24</v>
      </c>
      <c r="K20" t="s">
        <v>89</v>
      </c>
      <c r="L20" t="s">
        <v>47</v>
      </c>
      <c r="M20" t="s">
        <v>26</v>
      </c>
      <c r="N20" t="s">
        <v>203</v>
      </c>
      <c r="O20" s="2" t="s">
        <v>137</v>
      </c>
    </row>
    <row r="21" spans="1:15">
      <c r="A21" s="1"/>
      <c r="O21" s="2"/>
    </row>
    <row r="22" spans="1:15">
      <c r="A22" s="1"/>
      <c r="O22" s="2"/>
    </row>
  </sheetData>
  <sortState ref="Q1:S27">
    <sortCondition ref="Q1"/>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dimension ref="A1:U33"/>
  <sheetViews>
    <sheetView topLeftCell="A4" workbookViewId="0">
      <selection activeCell="A2" sqref="A2:A20"/>
    </sheetView>
  </sheetViews>
  <sheetFormatPr defaultRowHeight="15"/>
  <cols>
    <col min="1" max="1" width="6" bestFit="1" customWidth="1"/>
    <col min="2" max="2" width="12.28515625" bestFit="1" customWidth="1"/>
    <col min="3" max="3" width="8.28515625" bestFit="1" customWidth="1"/>
    <col min="4" max="4" width="13.42578125" bestFit="1" customWidth="1"/>
    <col min="5" max="6" width="9.85546875" bestFit="1" customWidth="1"/>
    <col min="7" max="7" width="12.5703125" bestFit="1" customWidth="1"/>
    <col min="8" max="8" width="9.42578125" bestFit="1" customWidth="1"/>
    <col min="9" max="9" width="10" bestFit="1" customWidth="1"/>
    <col min="10" max="10" width="10.28515625" bestFit="1" customWidth="1"/>
    <col min="11" max="11" width="8.28515625" bestFit="1" customWidth="1"/>
    <col min="12" max="12" width="9.28515625" bestFit="1" customWidth="1"/>
    <col min="13" max="13" width="11.28515625" bestFit="1" customWidth="1"/>
    <col min="14" max="14" width="12.28515625" bestFit="1" customWidth="1"/>
    <col min="15" max="15" width="8.140625" bestFit="1" customWidth="1"/>
    <col min="16" max="16" width="9.7109375" bestFit="1" customWidth="1"/>
    <col min="17" max="17" width="12.5703125" bestFit="1" customWidth="1"/>
  </cols>
  <sheetData>
    <row r="1" spans="1:21">
      <c r="A1" s="58" t="s">
        <v>753</v>
      </c>
      <c r="B1" s="59" t="s">
        <v>888</v>
      </c>
      <c r="C1" s="59" t="s">
        <v>889</v>
      </c>
      <c r="D1" s="60" t="s">
        <v>890</v>
      </c>
      <c r="E1" s="61" t="s">
        <v>891</v>
      </c>
      <c r="F1" s="58" t="s">
        <v>892</v>
      </c>
      <c r="G1" s="62" t="s">
        <v>893</v>
      </c>
      <c r="H1" s="58" t="s">
        <v>894</v>
      </c>
      <c r="I1" s="58" t="s">
        <v>895</v>
      </c>
      <c r="J1" s="58" t="s">
        <v>896</v>
      </c>
      <c r="K1" s="63" t="s">
        <v>897</v>
      </c>
      <c r="L1" s="64" t="s">
        <v>898</v>
      </c>
      <c r="M1" s="58" t="s">
        <v>899</v>
      </c>
      <c r="N1" s="65" t="s">
        <v>900</v>
      </c>
      <c r="O1" s="66" t="s">
        <v>754</v>
      </c>
      <c r="P1" s="67" t="s">
        <v>901</v>
      </c>
      <c r="Q1" s="67" t="s">
        <v>902</v>
      </c>
    </row>
    <row r="2" spans="1:21">
      <c r="A2" s="70">
        <v>1</v>
      </c>
      <c r="B2" s="71">
        <v>0</v>
      </c>
      <c r="C2" s="71">
        <f>B2</f>
        <v>0</v>
      </c>
      <c r="D2" s="60">
        <f>ROUND($Q$2*B2,1)</f>
        <v>0</v>
      </c>
      <c r="E2" s="72">
        <v>11</v>
      </c>
      <c r="F2" s="73">
        <f>IF(E2&lt;11, (E2/10), IF(E2=11, 0, 1.5))</f>
        <v>0</v>
      </c>
      <c r="G2" s="62">
        <f>TRUNC((D2+F2), 0)</f>
        <v>0</v>
      </c>
      <c r="H2" s="74">
        <f>ROUNDDOWN($Q$2*C2+$O$2,0.1)</f>
        <v>35</v>
      </c>
      <c r="I2" s="74">
        <f>H2</f>
        <v>35</v>
      </c>
      <c r="J2" s="74">
        <f>I2</f>
        <v>35</v>
      </c>
      <c r="K2" s="62">
        <f>ROUNDDOWN(AVERAGE(H2,I2),0.1)</f>
        <v>35</v>
      </c>
      <c r="L2" s="75"/>
      <c r="M2" s="76"/>
      <c r="N2" s="77"/>
      <c r="O2" s="78">
        <v>35</v>
      </c>
      <c r="P2" s="79">
        <v>107</v>
      </c>
      <c r="Q2" s="80">
        <f>P2-O2</f>
        <v>72</v>
      </c>
    </row>
    <row r="3" spans="1:21">
      <c r="A3" s="58">
        <v>2</v>
      </c>
      <c r="B3" s="84">
        <v>5.3571428571428568E-2</v>
      </c>
      <c r="C3" s="85">
        <f t="shared" ref="C3:C31" si="0">(B3+C2)</f>
        <v>5.3571428571428568E-2</v>
      </c>
      <c r="D3" s="60">
        <f>ROUND($Q$2*B3,2)</f>
        <v>3.86</v>
      </c>
      <c r="E3" s="86">
        <v>11</v>
      </c>
      <c r="F3" s="73">
        <f t="shared" ref="F3:F31" si="1">IF(E3&lt;11, (E3/10), IF(E3=11, 0, 1.5))</f>
        <v>0</v>
      </c>
      <c r="G3" s="62">
        <f t="shared" ref="G3:G31" si="2">TRUNC((D3+F3), 0)</f>
        <v>3</v>
      </c>
      <c r="H3" s="87">
        <f>TRUNC(H2+D3,0)</f>
        <v>38</v>
      </c>
      <c r="I3" s="87">
        <f>TRUNC(I2+D3+1,0)</f>
        <v>39</v>
      </c>
      <c r="J3" s="87">
        <f>TRUNC(J2+D3+1.5,0)</f>
        <v>40</v>
      </c>
      <c r="K3" s="62">
        <f>TRUNC(AVERAGE(H3,I3))</f>
        <v>38</v>
      </c>
      <c r="L3" s="75">
        <f>H2+G3</f>
        <v>38</v>
      </c>
      <c r="M3" s="76">
        <f>IF(L3&lt;K3, 1, 0)</f>
        <v>0</v>
      </c>
      <c r="N3" s="77">
        <f>IF(L3&lt;K3, L3+1,L3)</f>
        <v>38</v>
      </c>
      <c r="O3" s="88"/>
      <c r="P3" s="88"/>
      <c r="Q3" s="88"/>
      <c r="U3" s="89">
        <v>1</v>
      </c>
    </row>
    <row r="4" spans="1:21">
      <c r="A4" s="58">
        <v>3</v>
      </c>
      <c r="B4" s="84">
        <v>5.3571428571428568E-2</v>
      </c>
      <c r="C4" s="85">
        <f t="shared" si="0"/>
        <v>0.10714285714285714</v>
      </c>
      <c r="D4" s="60">
        <f t="shared" ref="D4:D31" si="3">ROUND($Q$2*B4,2)</f>
        <v>3.86</v>
      </c>
      <c r="E4" s="86">
        <v>11</v>
      </c>
      <c r="F4" s="73">
        <f t="shared" si="1"/>
        <v>0</v>
      </c>
      <c r="G4" s="62">
        <f t="shared" si="2"/>
        <v>3</v>
      </c>
      <c r="H4" s="87">
        <f t="shared" ref="H4:H30" si="4">TRUNC(H3+D4,0)</f>
        <v>41</v>
      </c>
      <c r="I4" s="87">
        <f t="shared" ref="I4:I30" si="5">TRUNC(I3+D4+1,0)</f>
        <v>43</v>
      </c>
      <c r="J4" s="87">
        <f t="shared" ref="J4:J30" si="6">TRUNC(J3+D4+1.5,0)</f>
        <v>45</v>
      </c>
      <c r="K4" s="62">
        <f t="shared" ref="K4:K31" si="7">TRUNC(AVERAGE(H4,I4))</f>
        <v>42</v>
      </c>
      <c r="L4" s="75">
        <f>N3+G4</f>
        <v>41</v>
      </c>
      <c r="M4" s="76">
        <f t="shared" ref="M4:M31" si="8">IF(L4&lt;K4, 1, 0)</f>
        <v>1</v>
      </c>
      <c r="N4" s="77">
        <f t="shared" ref="N4:N31" si="9">IF(L4&lt;K4, L4+1,L4)</f>
        <v>42</v>
      </c>
      <c r="O4" s="88"/>
      <c r="P4" s="88"/>
      <c r="Q4" s="88"/>
      <c r="U4" s="89">
        <v>2</v>
      </c>
    </row>
    <row r="5" spans="1:21">
      <c r="A5" s="58">
        <v>4</v>
      </c>
      <c r="B5" s="84">
        <v>5.3571428571428568E-2</v>
      </c>
      <c r="C5" s="85">
        <f t="shared" si="0"/>
        <v>0.1607142857142857</v>
      </c>
      <c r="D5" s="60">
        <f t="shared" si="3"/>
        <v>3.86</v>
      </c>
      <c r="E5" s="86">
        <v>11</v>
      </c>
      <c r="F5" s="73">
        <f t="shared" si="1"/>
        <v>0</v>
      </c>
      <c r="G5" s="62">
        <f t="shared" si="2"/>
        <v>3</v>
      </c>
      <c r="H5" s="87">
        <f t="shared" si="4"/>
        <v>44</v>
      </c>
      <c r="I5" s="87">
        <f t="shared" si="5"/>
        <v>47</v>
      </c>
      <c r="J5" s="87">
        <f t="shared" si="6"/>
        <v>50</v>
      </c>
      <c r="K5" s="62">
        <f t="shared" si="7"/>
        <v>45</v>
      </c>
      <c r="L5" s="75">
        <f>N4+G5</f>
        <v>45</v>
      </c>
      <c r="M5" s="76">
        <f t="shared" si="8"/>
        <v>0</v>
      </c>
      <c r="N5" s="77">
        <f t="shared" si="9"/>
        <v>45</v>
      </c>
      <c r="O5" s="88"/>
      <c r="P5" s="88"/>
      <c r="Q5" s="88"/>
      <c r="U5" s="89">
        <v>3</v>
      </c>
    </row>
    <row r="6" spans="1:21">
      <c r="A6" s="58">
        <v>5</v>
      </c>
      <c r="B6" s="84">
        <v>5.3571428571428568E-2</v>
      </c>
      <c r="C6" s="85">
        <f t="shared" si="0"/>
        <v>0.21428571428571427</v>
      </c>
      <c r="D6" s="60">
        <f t="shared" si="3"/>
        <v>3.86</v>
      </c>
      <c r="E6" s="86">
        <v>11</v>
      </c>
      <c r="F6" s="73">
        <f t="shared" si="1"/>
        <v>0</v>
      </c>
      <c r="G6" s="62">
        <f t="shared" si="2"/>
        <v>3</v>
      </c>
      <c r="H6" s="87">
        <f>TRUNC(H5+D6,0)</f>
        <v>47</v>
      </c>
      <c r="I6" s="87">
        <f t="shared" si="5"/>
        <v>51</v>
      </c>
      <c r="J6" s="87">
        <f t="shared" si="6"/>
        <v>55</v>
      </c>
      <c r="K6" s="62">
        <f t="shared" si="7"/>
        <v>49</v>
      </c>
      <c r="L6" s="75">
        <f>N5+G6</f>
        <v>48</v>
      </c>
      <c r="M6" s="76">
        <f t="shared" si="8"/>
        <v>1</v>
      </c>
      <c r="N6" s="77">
        <f t="shared" si="9"/>
        <v>49</v>
      </c>
      <c r="O6" s="88"/>
      <c r="P6" s="88"/>
      <c r="Q6" s="88"/>
      <c r="U6" s="89">
        <v>4</v>
      </c>
    </row>
    <row r="7" spans="1:21">
      <c r="A7" s="58">
        <v>6</v>
      </c>
      <c r="B7" s="84">
        <v>5.3571428571428568E-2</v>
      </c>
      <c r="C7" s="85">
        <f t="shared" si="0"/>
        <v>0.26785714285714285</v>
      </c>
      <c r="D7" s="60">
        <f t="shared" si="3"/>
        <v>3.86</v>
      </c>
      <c r="E7" s="86">
        <v>11</v>
      </c>
      <c r="F7" s="73">
        <f t="shared" si="1"/>
        <v>0</v>
      </c>
      <c r="G7" s="62">
        <f t="shared" si="2"/>
        <v>3</v>
      </c>
      <c r="H7" s="87">
        <f>TRUNC(H6+D7,0)</f>
        <v>50</v>
      </c>
      <c r="I7" s="87">
        <f t="shared" si="5"/>
        <v>55</v>
      </c>
      <c r="J7" s="87">
        <f t="shared" si="6"/>
        <v>60</v>
      </c>
      <c r="K7" s="62">
        <f t="shared" si="7"/>
        <v>52</v>
      </c>
      <c r="L7" s="75">
        <f t="shared" ref="L7:L31" si="10">N6+G7</f>
        <v>52</v>
      </c>
      <c r="M7" s="76">
        <f t="shared" si="8"/>
        <v>0</v>
      </c>
      <c r="N7" s="77">
        <f>IF(L7&lt;K7, L7+1,L7)</f>
        <v>52</v>
      </c>
      <c r="O7" s="88"/>
      <c r="P7" s="88"/>
      <c r="Q7" s="88"/>
      <c r="U7" s="89">
        <v>5</v>
      </c>
    </row>
    <row r="8" spans="1:21">
      <c r="A8" s="58">
        <v>7</v>
      </c>
      <c r="B8" s="84">
        <v>5.3571428571428568E-2</v>
      </c>
      <c r="C8" s="85">
        <f t="shared" si="0"/>
        <v>0.3214285714285714</v>
      </c>
      <c r="D8" s="60">
        <f t="shared" si="3"/>
        <v>3.86</v>
      </c>
      <c r="E8" s="86">
        <v>11</v>
      </c>
      <c r="F8" s="73">
        <f t="shared" si="1"/>
        <v>0</v>
      </c>
      <c r="G8" s="62">
        <f t="shared" si="2"/>
        <v>3</v>
      </c>
      <c r="H8" s="87">
        <f t="shared" si="4"/>
        <v>53</v>
      </c>
      <c r="I8" s="87">
        <f t="shared" si="5"/>
        <v>59</v>
      </c>
      <c r="J8" s="87">
        <f t="shared" si="6"/>
        <v>65</v>
      </c>
      <c r="K8" s="62">
        <f t="shared" si="7"/>
        <v>56</v>
      </c>
      <c r="L8" s="75">
        <f t="shared" si="10"/>
        <v>55</v>
      </c>
      <c r="M8" s="76">
        <f t="shared" si="8"/>
        <v>1</v>
      </c>
      <c r="N8" s="77">
        <f t="shared" si="9"/>
        <v>56</v>
      </c>
      <c r="O8" s="88"/>
      <c r="P8" s="88"/>
      <c r="Q8" s="88"/>
      <c r="U8" s="89">
        <v>6</v>
      </c>
    </row>
    <row r="9" spans="1:21">
      <c r="A9" s="58">
        <v>8</v>
      </c>
      <c r="B9" s="84">
        <v>5.3571428571428568E-2</v>
      </c>
      <c r="C9" s="85">
        <f t="shared" si="0"/>
        <v>0.37499999999999994</v>
      </c>
      <c r="D9" s="60">
        <f t="shared" si="3"/>
        <v>3.86</v>
      </c>
      <c r="E9" s="86">
        <v>11</v>
      </c>
      <c r="F9" s="73">
        <f t="shared" si="1"/>
        <v>0</v>
      </c>
      <c r="G9" s="62">
        <f t="shared" si="2"/>
        <v>3</v>
      </c>
      <c r="H9" s="87">
        <f t="shared" si="4"/>
        <v>56</v>
      </c>
      <c r="I9" s="87">
        <f t="shared" si="5"/>
        <v>63</v>
      </c>
      <c r="J9" s="87">
        <f t="shared" si="6"/>
        <v>70</v>
      </c>
      <c r="K9" s="62">
        <f t="shared" si="7"/>
        <v>59</v>
      </c>
      <c r="L9" s="75">
        <f t="shared" si="10"/>
        <v>59</v>
      </c>
      <c r="M9" s="76">
        <f t="shared" si="8"/>
        <v>0</v>
      </c>
      <c r="N9" s="77">
        <f t="shared" si="9"/>
        <v>59</v>
      </c>
      <c r="O9" s="88"/>
      <c r="P9" s="88"/>
      <c r="Q9" s="88"/>
      <c r="U9" s="89">
        <v>7</v>
      </c>
    </row>
    <row r="10" spans="1:21">
      <c r="A10" s="58">
        <v>9</v>
      </c>
      <c r="B10" s="84">
        <v>5.3571428571428568E-2</v>
      </c>
      <c r="C10" s="85">
        <f t="shared" si="0"/>
        <v>0.42857142857142849</v>
      </c>
      <c r="D10" s="60">
        <f t="shared" si="3"/>
        <v>3.86</v>
      </c>
      <c r="E10" s="86">
        <v>11</v>
      </c>
      <c r="F10" s="73">
        <f t="shared" si="1"/>
        <v>0</v>
      </c>
      <c r="G10" s="62">
        <f t="shared" si="2"/>
        <v>3</v>
      </c>
      <c r="H10" s="87">
        <f t="shared" si="4"/>
        <v>59</v>
      </c>
      <c r="I10" s="87">
        <f t="shared" si="5"/>
        <v>67</v>
      </c>
      <c r="J10" s="87">
        <f t="shared" si="6"/>
        <v>75</v>
      </c>
      <c r="K10" s="62">
        <f t="shared" si="7"/>
        <v>63</v>
      </c>
      <c r="L10" s="75">
        <f t="shared" si="10"/>
        <v>62</v>
      </c>
      <c r="M10" s="76">
        <f t="shared" si="8"/>
        <v>1</v>
      </c>
      <c r="N10" s="77">
        <f t="shared" si="9"/>
        <v>63</v>
      </c>
      <c r="O10" s="88"/>
      <c r="P10" s="88"/>
      <c r="Q10" s="88"/>
      <c r="U10" s="89">
        <v>8</v>
      </c>
    </row>
    <row r="11" spans="1:21">
      <c r="A11" s="90">
        <v>10</v>
      </c>
      <c r="B11" s="84">
        <v>5.3571428571428568E-2</v>
      </c>
      <c r="C11" s="85">
        <f t="shared" si="0"/>
        <v>0.48214285714285704</v>
      </c>
      <c r="D11" s="60">
        <f t="shared" si="3"/>
        <v>3.86</v>
      </c>
      <c r="E11" s="86">
        <v>11</v>
      </c>
      <c r="F11" s="73">
        <f t="shared" si="1"/>
        <v>0</v>
      </c>
      <c r="G11" s="62">
        <f t="shared" si="2"/>
        <v>3</v>
      </c>
      <c r="H11" s="87">
        <f>TRUNC(H10+D11,0)</f>
        <v>62</v>
      </c>
      <c r="I11" s="87">
        <f t="shared" si="5"/>
        <v>71</v>
      </c>
      <c r="J11" s="87">
        <f t="shared" si="6"/>
        <v>80</v>
      </c>
      <c r="K11" s="62">
        <f t="shared" si="7"/>
        <v>66</v>
      </c>
      <c r="L11" s="75">
        <f t="shared" si="10"/>
        <v>66</v>
      </c>
      <c r="M11" s="76">
        <f>IF(L11&lt;K11, 1, 0)</f>
        <v>0</v>
      </c>
      <c r="N11" s="77">
        <f t="shared" si="9"/>
        <v>66</v>
      </c>
      <c r="O11" s="88"/>
      <c r="P11" s="88"/>
      <c r="Q11" s="88"/>
      <c r="U11" s="89">
        <v>9</v>
      </c>
    </row>
    <row r="12" spans="1:21">
      <c r="A12" s="90">
        <v>11</v>
      </c>
      <c r="B12" s="84">
        <v>5.3571428571428568E-2</v>
      </c>
      <c r="C12" s="85">
        <f t="shared" si="0"/>
        <v>0.53571428571428559</v>
      </c>
      <c r="D12" s="60">
        <f t="shared" si="3"/>
        <v>3.86</v>
      </c>
      <c r="E12" s="86">
        <v>11</v>
      </c>
      <c r="F12" s="73">
        <f t="shared" si="1"/>
        <v>0</v>
      </c>
      <c r="G12" s="62">
        <f t="shared" si="2"/>
        <v>3</v>
      </c>
      <c r="H12" s="87">
        <f t="shared" si="4"/>
        <v>65</v>
      </c>
      <c r="I12" s="87">
        <f t="shared" si="5"/>
        <v>75</v>
      </c>
      <c r="J12" s="87">
        <f t="shared" si="6"/>
        <v>85</v>
      </c>
      <c r="K12" s="62">
        <f t="shared" si="7"/>
        <v>70</v>
      </c>
      <c r="L12" s="75">
        <f t="shared" si="10"/>
        <v>69</v>
      </c>
      <c r="M12" s="76">
        <f t="shared" si="8"/>
        <v>1</v>
      </c>
      <c r="N12" s="77">
        <f t="shared" si="9"/>
        <v>70</v>
      </c>
      <c r="O12" s="88"/>
      <c r="P12" s="88"/>
      <c r="Q12" s="88" t="s">
        <v>903</v>
      </c>
      <c r="U12" s="89">
        <v>10</v>
      </c>
    </row>
    <row r="13" spans="1:21">
      <c r="A13" s="90">
        <v>12</v>
      </c>
      <c r="B13" s="84">
        <v>5.3571428571428568E-2</v>
      </c>
      <c r="C13" s="85">
        <f t="shared" si="0"/>
        <v>0.58928571428571419</v>
      </c>
      <c r="D13" s="60">
        <f t="shared" si="3"/>
        <v>3.86</v>
      </c>
      <c r="E13" s="86">
        <v>11</v>
      </c>
      <c r="F13" s="73">
        <f t="shared" si="1"/>
        <v>0</v>
      </c>
      <c r="G13" s="62">
        <f t="shared" si="2"/>
        <v>3</v>
      </c>
      <c r="H13" s="87">
        <f t="shared" si="4"/>
        <v>68</v>
      </c>
      <c r="I13" s="87">
        <f t="shared" si="5"/>
        <v>79</v>
      </c>
      <c r="J13" s="87">
        <f t="shared" si="6"/>
        <v>90</v>
      </c>
      <c r="K13" s="62">
        <f t="shared" si="7"/>
        <v>73</v>
      </c>
      <c r="L13" s="75">
        <f t="shared" si="10"/>
        <v>73</v>
      </c>
      <c r="M13" s="76">
        <f t="shared" si="8"/>
        <v>0</v>
      </c>
      <c r="N13" s="77">
        <f t="shared" si="9"/>
        <v>73</v>
      </c>
      <c r="O13" s="88"/>
      <c r="P13" s="88"/>
      <c r="Q13" s="88"/>
      <c r="U13" s="89">
        <v>11</v>
      </c>
    </row>
    <row r="14" spans="1:21">
      <c r="A14" s="90">
        <v>13</v>
      </c>
      <c r="B14" s="84">
        <v>5.3571428571428568E-2</v>
      </c>
      <c r="C14" s="85">
        <f t="shared" si="0"/>
        <v>0.64285714285714279</v>
      </c>
      <c r="D14" s="60">
        <f t="shared" si="3"/>
        <v>3.86</v>
      </c>
      <c r="E14" s="86">
        <v>11</v>
      </c>
      <c r="F14" s="73">
        <f t="shared" si="1"/>
        <v>0</v>
      </c>
      <c r="G14" s="62">
        <f t="shared" si="2"/>
        <v>3</v>
      </c>
      <c r="H14" s="87">
        <f t="shared" si="4"/>
        <v>71</v>
      </c>
      <c r="I14" s="87">
        <f t="shared" si="5"/>
        <v>83</v>
      </c>
      <c r="J14" s="87">
        <f t="shared" si="6"/>
        <v>95</v>
      </c>
      <c r="K14" s="62">
        <f t="shared" si="7"/>
        <v>77</v>
      </c>
      <c r="L14" s="75">
        <f t="shared" si="10"/>
        <v>76</v>
      </c>
      <c r="M14" s="76">
        <f t="shared" si="8"/>
        <v>1</v>
      </c>
      <c r="N14" s="77">
        <f t="shared" si="9"/>
        <v>77</v>
      </c>
      <c r="O14" s="88"/>
      <c r="P14" s="88"/>
      <c r="Q14" s="88"/>
      <c r="U14" s="89">
        <v>12</v>
      </c>
    </row>
    <row r="15" spans="1:21">
      <c r="A15" s="90">
        <v>14</v>
      </c>
      <c r="B15" s="84">
        <v>5.3571428571428568E-2</v>
      </c>
      <c r="C15" s="85">
        <f t="shared" si="0"/>
        <v>0.6964285714285714</v>
      </c>
      <c r="D15" s="60">
        <f t="shared" si="3"/>
        <v>3.86</v>
      </c>
      <c r="E15" s="86">
        <v>11</v>
      </c>
      <c r="F15" s="73">
        <f t="shared" si="1"/>
        <v>0</v>
      </c>
      <c r="G15" s="62">
        <f t="shared" si="2"/>
        <v>3</v>
      </c>
      <c r="H15" s="87">
        <f t="shared" si="4"/>
        <v>74</v>
      </c>
      <c r="I15" s="87">
        <f t="shared" si="5"/>
        <v>87</v>
      </c>
      <c r="J15" s="87">
        <f t="shared" si="6"/>
        <v>100</v>
      </c>
      <c r="K15" s="62">
        <f t="shared" si="7"/>
        <v>80</v>
      </c>
      <c r="L15" s="75">
        <f t="shared" si="10"/>
        <v>80</v>
      </c>
      <c r="M15" s="76">
        <f t="shared" si="8"/>
        <v>0</v>
      </c>
      <c r="N15" s="77">
        <f t="shared" si="9"/>
        <v>80</v>
      </c>
      <c r="O15" s="88"/>
      <c r="P15" s="88"/>
      <c r="Q15" s="88"/>
    </row>
    <row r="16" spans="1:21">
      <c r="A16" s="90">
        <v>15</v>
      </c>
      <c r="B16" s="84">
        <v>5.3571428571428568E-2</v>
      </c>
      <c r="C16" s="85">
        <f t="shared" si="0"/>
        <v>0.75</v>
      </c>
      <c r="D16" s="60">
        <f t="shared" si="3"/>
        <v>3.86</v>
      </c>
      <c r="E16" s="86">
        <v>11</v>
      </c>
      <c r="F16" s="73">
        <f t="shared" si="1"/>
        <v>0</v>
      </c>
      <c r="G16" s="62">
        <f t="shared" si="2"/>
        <v>3</v>
      </c>
      <c r="H16" s="87">
        <f t="shared" si="4"/>
        <v>77</v>
      </c>
      <c r="I16" s="87">
        <f t="shared" si="5"/>
        <v>91</v>
      </c>
      <c r="J16" s="87">
        <f t="shared" si="6"/>
        <v>105</v>
      </c>
      <c r="K16" s="62">
        <f t="shared" si="7"/>
        <v>84</v>
      </c>
      <c r="L16" s="75">
        <f t="shared" si="10"/>
        <v>83</v>
      </c>
      <c r="M16" s="76">
        <f t="shared" si="8"/>
        <v>1</v>
      </c>
      <c r="N16" s="77">
        <f t="shared" si="9"/>
        <v>84</v>
      </c>
      <c r="O16" s="88"/>
      <c r="P16" s="88"/>
      <c r="Q16" s="88"/>
    </row>
    <row r="17" spans="1:17">
      <c r="A17" s="90">
        <v>16</v>
      </c>
      <c r="B17" s="84">
        <v>2.2222222222222223E-2</v>
      </c>
      <c r="C17" s="85">
        <f t="shared" si="0"/>
        <v>0.77222222222222225</v>
      </c>
      <c r="D17" s="60">
        <f t="shared" si="3"/>
        <v>1.6</v>
      </c>
      <c r="E17" s="86">
        <v>11</v>
      </c>
      <c r="F17" s="73">
        <f t="shared" si="1"/>
        <v>0</v>
      </c>
      <c r="G17" s="62">
        <f t="shared" si="2"/>
        <v>1</v>
      </c>
      <c r="H17" s="87">
        <f t="shared" si="4"/>
        <v>78</v>
      </c>
      <c r="I17" s="87">
        <f t="shared" si="5"/>
        <v>93</v>
      </c>
      <c r="J17" s="87">
        <f t="shared" si="6"/>
        <v>108</v>
      </c>
      <c r="K17" s="62">
        <f t="shared" si="7"/>
        <v>85</v>
      </c>
      <c r="L17" s="75">
        <f t="shared" si="10"/>
        <v>85</v>
      </c>
      <c r="M17" s="76">
        <f t="shared" si="8"/>
        <v>0</v>
      </c>
      <c r="N17" s="77">
        <f t="shared" si="9"/>
        <v>85</v>
      </c>
      <c r="O17" s="88"/>
      <c r="P17" s="88"/>
      <c r="Q17" s="88"/>
    </row>
    <row r="18" spans="1:17">
      <c r="A18" s="70">
        <v>17</v>
      </c>
      <c r="B18" s="84">
        <v>2.2222222222222223E-2</v>
      </c>
      <c r="C18" s="85">
        <f t="shared" si="0"/>
        <v>0.79444444444444451</v>
      </c>
      <c r="D18" s="60">
        <f t="shared" si="3"/>
        <v>1.6</v>
      </c>
      <c r="E18" s="86">
        <v>11</v>
      </c>
      <c r="F18" s="73">
        <f t="shared" si="1"/>
        <v>0</v>
      </c>
      <c r="G18" s="62">
        <f t="shared" si="2"/>
        <v>1</v>
      </c>
      <c r="H18" s="87">
        <f t="shared" si="4"/>
        <v>79</v>
      </c>
      <c r="I18" s="87">
        <f t="shared" si="5"/>
        <v>95</v>
      </c>
      <c r="J18" s="87">
        <f t="shared" si="6"/>
        <v>111</v>
      </c>
      <c r="K18" s="62">
        <f t="shared" si="7"/>
        <v>87</v>
      </c>
      <c r="L18" s="75">
        <f t="shared" si="10"/>
        <v>86</v>
      </c>
      <c r="M18" s="76">
        <f t="shared" si="8"/>
        <v>1</v>
      </c>
      <c r="N18" s="77">
        <f t="shared" si="9"/>
        <v>87</v>
      </c>
      <c r="O18" s="88"/>
      <c r="P18" s="88"/>
      <c r="Q18" s="88"/>
    </row>
    <row r="19" spans="1:17">
      <c r="A19" s="70">
        <v>18</v>
      </c>
      <c r="B19" s="84">
        <v>2.2222222222222223E-2</v>
      </c>
      <c r="C19" s="85">
        <f t="shared" si="0"/>
        <v>0.81666666666666676</v>
      </c>
      <c r="D19" s="60">
        <f t="shared" si="3"/>
        <v>1.6</v>
      </c>
      <c r="E19" s="86">
        <v>11</v>
      </c>
      <c r="F19" s="73">
        <f t="shared" si="1"/>
        <v>0</v>
      </c>
      <c r="G19" s="62">
        <f t="shared" si="2"/>
        <v>1</v>
      </c>
      <c r="H19" s="87">
        <f t="shared" si="4"/>
        <v>80</v>
      </c>
      <c r="I19" s="87">
        <f t="shared" si="5"/>
        <v>97</v>
      </c>
      <c r="J19" s="87">
        <f t="shared" si="6"/>
        <v>114</v>
      </c>
      <c r="K19" s="62">
        <f t="shared" si="7"/>
        <v>88</v>
      </c>
      <c r="L19" s="75">
        <f t="shared" si="10"/>
        <v>88</v>
      </c>
      <c r="M19" s="76">
        <f t="shared" si="8"/>
        <v>0</v>
      </c>
      <c r="N19" s="77">
        <f t="shared" si="9"/>
        <v>88</v>
      </c>
      <c r="O19" s="88"/>
      <c r="P19" s="88"/>
      <c r="Q19" s="88"/>
    </row>
    <row r="20" spans="1:17">
      <c r="A20" s="70">
        <v>19</v>
      </c>
      <c r="B20" s="84">
        <v>2.2222222222222223E-2</v>
      </c>
      <c r="C20" s="85">
        <f t="shared" si="0"/>
        <v>0.83888888888888902</v>
      </c>
      <c r="D20" s="60">
        <f t="shared" si="3"/>
        <v>1.6</v>
      </c>
      <c r="E20" s="86">
        <v>11</v>
      </c>
      <c r="F20" s="73">
        <f t="shared" si="1"/>
        <v>0</v>
      </c>
      <c r="G20" s="62">
        <f t="shared" si="2"/>
        <v>1</v>
      </c>
      <c r="H20" s="87">
        <f t="shared" si="4"/>
        <v>81</v>
      </c>
      <c r="I20" s="87">
        <f t="shared" si="5"/>
        <v>99</v>
      </c>
      <c r="J20" s="87">
        <f t="shared" si="6"/>
        <v>117</v>
      </c>
      <c r="K20" s="62">
        <f t="shared" si="7"/>
        <v>90</v>
      </c>
      <c r="L20" s="75">
        <f t="shared" si="10"/>
        <v>89</v>
      </c>
      <c r="M20" s="76">
        <f t="shared" si="8"/>
        <v>1</v>
      </c>
      <c r="N20" s="77">
        <f t="shared" si="9"/>
        <v>90</v>
      </c>
      <c r="O20" s="88"/>
      <c r="P20" s="88"/>
      <c r="Q20" s="88"/>
    </row>
    <row r="21" spans="1:17">
      <c r="A21" s="70">
        <v>20</v>
      </c>
      <c r="B21" s="84">
        <v>2.2222222222222223E-2</v>
      </c>
      <c r="C21" s="85">
        <f t="shared" si="0"/>
        <v>0.86111111111111127</v>
      </c>
      <c r="D21" s="60">
        <f t="shared" si="3"/>
        <v>1.6</v>
      </c>
      <c r="E21" s="86">
        <v>11</v>
      </c>
      <c r="F21" s="73">
        <f t="shared" si="1"/>
        <v>0</v>
      </c>
      <c r="G21" s="62">
        <f t="shared" si="2"/>
        <v>1</v>
      </c>
      <c r="H21" s="87">
        <f t="shared" si="4"/>
        <v>82</v>
      </c>
      <c r="I21" s="87">
        <f t="shared" si="5"/>
        <v>101</v>
      </c>
      <c r="J21" s="87">
        <f t="shared" si="6"/>
        <v>120</v>
      </c>
      <c r="K21" s="62">
        <f t="shared" si="7"/>
        <v>91</v>
      </c>
      <c r="L21" s="75">
        <f t="shared" si="10"/>
        <v>91</v>
      </c>
      <c r="M21" s="76">
        <f t="shared" si="8"/>
        <v>0</v>
      </c>
      <c r="N21" s="77">
        <f t="shared" si="9"/>
        <v>91</v>
      </c>
      <c r="O21" s="88"/>
      <c r="P21" s="88"/>
      <c r="Q21" s="88"/>
    </row>
    <row r="22" spans="1:17">
      <c r="A22" s="70">
        <v>21</v>
      </c>
      <c r="B22" s="84">
        <v>2.2222222222222223E-2</v>
      </c>
      <c r="C22" s="85">
        <f t="shared" si="0"/>
        <v>0.88333333333333353</v>
      </c>
      <c r="D22" s="60">
        <f t="shared" si="3"/>
        <v>1.6</v>
      </c>
      <c r="E22" s="86">
        <v>11</v>
      </c>
      <c r="F22" s="73">
        <f t="shared" si="1"/>
        <v>0</v>
      </c>
      <c r="G22" s="62">
        <f t="shared" si="2"/>
        <v>1</v>
      </c>
      <c r="H22" s="87">
        <f t="shared" si="4"/>
        <v>83</v>
      </c>
      <c r="I22" s="87">
        <f t="shared" si="5"/>
        <v>103</v>
      </c>
      <c r="J22" s="87">
        <f t="shared" si="6"/>
        <v>123</v>
      </c>
      <c r="K22" s="62">
        <f t="shared" si="7"/>
        <v>93</v>
      </c>
      <c r="L22" s="75">
        <f t="shared" si="10"/>
        <v>92</v>
      </c>
      <c r="M22" s="76">
        <f t="shared" si="8"/>
        <v>1</v>
      </c>
      <c r="N22" s="77">
        <f t="shared" si="9"/>
        <v>93</v>
      </c>
      <c r="O22" s="88"/>
      <c r="P22" s="88"/>
      <c r="Q22" s="88"/>
    </row>
    <row r="23" spans="1:17">
      <c r="A23" s="58">
        <v>22</v>
      </c>
      <c r="B23" s="84">
        <v>2.2222222222222223E-2</v>
      </c>
      <c r="C23" s="85">
        <f t="shared" si="0"/>
        <v>0.90555555555555578</v>
      </c>
      <c r="D23" s="60">
        <f t="shared" si="3"/>
        <v>1.6</v>
      </c>
      <c r="E23" s="86">
        <v>11</v>
      </c>
      <c r="F23" s="73">
        <f t="shared" si="1"/>
        <v>0</v>
      </c>
      <c r="G23" s="62">
        <f t="shared" si="2"/>
        <v>1</v>
      </c>
      <c r="H23" s="87">
        <f t="shared" si="4"/>
        <v>84</v>
      </c>
      <c r="I23" s="87">
        <f t="shared" si="5"/>
        <v>105</v>
      </c>
      <c r="J23" s="87">
        <f t="shared" si="6"/>
        <v>126</v>
      </c>
      <c r="K23" s="62">
        <f t="shared" si="7"/>
        <v>94</v>
      </c>
      <c r="L23" s="75">
        <f t="shared" si="10"/>
        <v>94</v>
      </c>
      <c r="M23" s="76">
        <f t="shared" si="8"/>
        <v>0</v>
      </c>
      <c r="N23" s="77">
        <f t="shared" si="9"/>
        <v>94</v>
      </c>
      <c r="O23" s="88"/>
      <c r="P23" s="88"/>
      <c r="Q23" s="88"/>
    </row>
    <row r="24" spans="1:17">
      <c r="A24" s="58">
        <v>23</v>
      </c>
      <c r="B24" s="84">
        <v>2.2222222222222223E-2</v>
      </c>
      <c r="C24" s="85">
        <f t="shared" si="0"/>
        <v>0.92777777777777803</v>
      </c>
      <c r="D24" s="60">
        <f t="shared" si="3"/>
        <v>1.6</v>
      </c>
      <c r="E24" s="86">
        <v>11</v>
      </c>
      <c r="F24" s="73">
        <f t="shared" si="1"/>
        <v>0</v>
      </c>
      <c r="G24" s="62">
        <f t="shared" si="2"/>
        <v>1</v>
      </c>
      <c r="H24" s="87">
        <f t="shared" si="4"/>
        <v>85</v>
      </c>
      <c r="I24" s="87">
        <f t="shared" si="5"/>
        <v>107</v>
      </c>
      <c r="J24" s="87">
        <f t="shared" si="6"/>
        <v>129</v>
      </c>
      <c r="K24" s="62">
        <f t="shared" si="7"/>
        <v>96</v>
      </c>
      <c r="L24" s="75">
        <f t="shared" si="10"/>
        <v>95</v>
      </c>
      <c r="M24" s="76">
        <f t="shared" si="8"/>
        <v>1</v>
      </c>
      <c r="N24" s="77">
        <f t="shared" si="9"/>
        <v>96</v>
      </c>
      <c r="O24" s="88"/>
      <c r="P24" s="88"/>
      <c r="Q24" s="88"/>
    </row>
    <row r="25" spans="1:17">
      <c r="A25" s="58">
        <v>24</v>
      </c>
      <c r="B25" s="84">
        <v>2.2222222222222223E-2</v>
      </c>
      <c r="C25" s="85">
        <f t="shared" si="0"/>
        <v>0.95000000000000029</v>
      </c>
      <c r="D25" s="60">
        <f t="shared" si="3"/>
        <v>1.6</v>
      </c>
      <c r="E25" s="86">
        <v>11</v>
      </c>
      <c r="F25" s="73">
        <f t="shared" si="1"/>
        <v>0</v>
      </c>
      <c r="G25" s="62">
        <f t="shared" si="2"/>
        <v>1</v>
      </c>
      <c r="H25" s="87">
        <f t="shared" si="4"/>
        <v>86</v>
      </c>
      <c r="I25" s="87">
        <f t="shared" si="5"/>
        <v>109</v>
      </c>
      <c r="J25" s="87">
        <f t="shared" si="6"/>
        <v>132</v>
      </c>
      <c r="K25" s="62">
        <f t="shared" si="7"/>
        <v>97</v>
      </c>
      <c r="L25" s="75">
        <f t="shared" si="10"/>
        <v>97</v>
      </c>
      <c r="M25" s="76">
        <f t="shared" si="8"/>
        <v>0</v>
      </c>
      <c r="N25" s="77">
        <f t="shared" si="9"/>
        <v>97</v>
      </c>
      <c r="O25" s="88"/>
      <c r="P25" s="88"/>
      <c r="Q25" s="88"/>
    </row>
    <row r="26" spans="1:17">
      <c r="A26" s="58">
        <v>25</v>
      </c>
      <c r="B26" s="84">
        <v>8.3333333333333332E-3</v>
      </c>
      <c r="C26" s="85">
        <f t="shared" si="0"/>
        <v>0.95833333333333359</v>
      </c>
      <c r="D26" s="60">
        <f t="shared" si="3"/>
        <v>0.6</v>
      </c>
      <c r="E26" s="86">
        <v>11</v>
      </c>
      <c r="F26" s="73">
        <f t="shared" si="1"/>
        <v>0</v>
      </c>
      <c r="G26" s="62">
        <f t="shared" si="2"/>
        <v>0</v>
      </c>
      <c r="H26" s="87">
        <f t="shared" si="4"/>
        <v>86</v>
      </c>
      <c r="I26" s="87">
        <f t="shared" si="5"/>
        <v>110</v>
      </c>
      <c r="J26" s="87">
        <f t="shared" si="6"/>
        <v>134</v>
      </c>
      <c r="K26" s="62">
        <f t="shared" si="7"/>
        <v>98</v>
      </c>
      <c r="L26" s="75">
        <f t="shared" si="10"/>
        <v>97</v>
      </c>
      <c r="M26" s="76">
        <f t="shared" si="8"/>
        <v>1</v>
      </c>
      <c r="N26" s="77">
        <f t="shared" si="9"/>
        <v>98</v>
      </c>
      <c r="O26" s="88"/>
      <c r="P26" s="88"/>
      <c r="Q26" s="88"/>
    </row>
    <row r="27" spans="1:17">
      <c r="A27" s="58">
        <v>26</v>
      </c>
      <c r="B27" s="84">
        <v>8.3333333333333332E-3</v>
      </c>
      <c r="C27" s="85">
        <f t="shared" si="0"/>
        <v>0.9666666666666669</v>
      </c>
      <c r="D27" s="60">
        <f t="shared" si="3"/>
        <v>0.6</v>
      </c>
      <c r="E27" s="86">
        <v>11</v>
      </c>
      <c r="F27" s="73">
        <f t="shared" si="1"/>
        <v>0</v>
      </c>
      <c r="G27" s="62">
        <f t="shared" si="2"/>
        <v>0</v>
      </c>
      <c r="H27" s="87">
        <f t="shared" si="4"/>
        <v>86</v>
      </c>
      <c r="I27" s="87">
        <f t="shared" si="5"/>
        <v>111</v>
      </c>
      <c r="J27" s="87">
        <f t="shared" si="6"/>
        <v>136</v>
      </c>
      <c r="K27" s="62">
        <f t="shared" si="7"/>
        <v>98</v>
      </c>
      <c r="L27" s="75">
        <f t="shared" si="10"/>
        <v>98</v>
      </c>
      <c r="M27" s="76">
        <f t="shared" si="8"/>
        <v>0</v>
      </c>
      <c r="N27" s="77">
        <f t="shared" si="9"/>
        <v>98</v>
      </c>
      <c r="O27" s="88"/>
      <c r="P27" s="88"/>
      <c r="Q27" s="88"/>
    </row>
    <row r="28" spans="1:17">
      <c r="A28" s="58">
        <v>27</v>
      </c>
      <c r="B28" s="84">
        <v>8.3333333333333332E-3</v>
      </c>
      <c r="C28" s="85">
        <f t="shared" si="0"/>
        <v>0.9750000000000002</v>
      </c>
      <c r="D28" s="60">
        <f t="shared" si="3"/>
        <v>0.6</v>
      </c>
      <c r="E28" s="86">
        <v>11</v>
      </c>
      <c r="F28" s="73">
        <f t="shared" si="1"/>
        <v>0</v>
      </c>
      <c r="G28" s="62">
        <f t="shared" si="2"/>
        <v>0</v>
      </c>
      <c r="H28" s="87">
        <f t="shared" si="4"/>
        <v>86</v>
      </c>
      <c r="I28" s="87">
        <f t="shared" si="5"/>
        <v>112</v>
      </c>
      <c r="J28" s="87">
        <f t="shared" si="6"/>
        <v>138</v>
      </c>
      <c r="K28" s="62">
        <f t="shared" si="7"/>
        <v>99</v>
      </c>
      <c r="L28" s="75">
        <f t="shared" si="10"/>
        <v>98</v>
      </c>
      <c r="M28" s="76">
        <f t="shared" si="8"/>
        <v>1</v>
      </c>
      <c r="N28" s="77">
        <f t="shared" si="9"/>
        <v>99</v>
      </c>
      <c r="O28" s="88"/>
      <c r="P28" s="88"/>
      <c r="Q28" s="88"/>
    </row>
    <row r="29" spans="1:17">
      <c r="A29" s="58">
        <v>28</v>
      </c>
      <c r="B29" s="84">
        <v>8.3333333333333332E-3</v>
      </c>
      <c r="C29" s="85">
        <f t="shared" si="0"/>
        <v>0.9833333333333335</v>
      </c>
      <c r="D29" s="60">
        <f t="shared" si="3"/>
        <v>0.6</v>
      </c>
      <c r="E29" s="86">
        <v>11</v>
      </c>
      <c r="F29" s="73">
        <f t="shared" si="1"/>
        <v>0</v>
      </c>
      <c r="G29" s="62">
        <f t="shared" si="2"/>
        <v>0</v>
      </c>
      <c r="H29" s="87">
        <f t="shared" si="4"/>
        <v>86</v>
      </c>
      <c r="I29" s="87">
        <f t="shared" si="5"/>
        <v>113</v>
      </c>
      <c r="J29" s="87">
        <f t="shared" si="6"/>
        <v>140</v>
      </c>
      <c r="K29" s="62">
        <f t="shared" si="7"/>
        <v>99</v>
      </c>
      <c r="L29" s="75">
        <f t="shared" si="10"/>
        <v>99</v>
      </c>
      <c r="M29" s="76">
        <f t="shared" si="8"/>
        <v>0</v>
      </c>
      <c r="N29" s="77">
        <f t="shared" si="9"/>
        <v>99</v>
      </c>
      <c r="O29" s="88"/>
      <c r="P29" s="88"/>
      <c r="Q29" s="88"/>
    </row>
    <row r="30" spans="1:17">
      <c r="A30" s="58">
        <v>29</v>
      </c>
      <c r="B30" s="84">
        <v>8.3333333333333332E-3</v>
      </c>
      <c r="C30" s="85">
        <f t="shared" si="0"/>
        <v>0.99166666666666681</v>
      </c>
      <c r="D30" s="60">
        <f>ROUND($Q$2*B30,2)</f>
        <v>0.6</v>
      </c>
      <c r="E30" s="86">
        <v>11</v>
      </c>
      <c r="F30" s="73">
        <f t="shared" si="1"/>
        <v>0</v>
      </c>
      <c r="G30" s="62">
        <f t="shared" si="2"/>
        <v>0</v>
      </c>
      <c r="H30" s="87">
        <f t="shared" si="4"/>
        <v>86</v>
      </c>
      <c r="I30" s="87">
        <f t="shared" si="5"/>
        <v>114</v>
      </c>
      <c r="J30" s="87">
        <f t="shared" si="6"/>
        <v>142</v>
      </c>
      <c r="K30" s="62">
        <f t="shared" si="7"/>
        <v>100</v>
      </c>
      <c r="L30" s="75">
        <f t="shared" si="10"/>
        <v>99</v>
      </c>
      <c r="M30" s="76">
        <f t="shared" si="8"/>
        <v>1</v>
      </c>
      <c r="N30" s="77">
        <f t="shared" si="9"/>
        <v>100</v>
      </c>
      <c r="O30" s="88"/>
      <c r="P30" s="88"/>
      <c r="Q30" s="88"/>
    </row>
    <row r="31" spans="1:17">
      <c r="A31" s="90">
        <v>30</v>
      </c>
      <c r="B31" s="84">
        <v>8.3333333333333332E-3</v>
      </c>
      <c r="C31" s="85">
        <f t="shared" si="0"/>
        <v>1.0000000000000002</v>
      </c>
      <c r="D31" s="60">
        <f t="shared" si="3"/>
        <v>0.6</v>
      </c>
      <c r="E31" s="86">
        <v>11</v>
      </c>
      <c r="F31" s="73">
        <f t="shared" si="1"/>
        <v>0</v>
      </c>
      <c r="G31" s="62">
        <f t="shared" si="2"/>
        <v>0</v>
      </c>
      <c r="H31" s="87">
        <f>TRUNC(H30+D31,0)</f>
        <v>86</v>
      </c>
      <c r="I31" s="87">
        <f>TRUNC(I30+D31+1,0)</f>
        <v>115</v>
      </c>
      <c r="J31" s="87">
        <f>TRUNC(J30+D31+1.5,0)</f>
        <v>144</v>
      </c>
      <c r="K31" s="62">
        <f t="shared" si="7"/>
        <v>100</v>
      </c>
      <c r="L31" s="75">
        <f t="shared" si="10"/>
        <v>100</v>
      </c>
      <c r="M31" s="76">
        <f t="shared" si="8"/>
        <v>0</v>
      </c>
      <c r="N31" s="77">
        <f t="shared" si="9"/>
        <v>100</v>
      </c>
      <c r="O31" s="88"/>
      <c r="P31" s="88"/>
      <c r="Q31" s="88"/>
    </row>
    <row r="32" spans="1:17">
      <c r="A32" s="91"/>
      <c r="B32" s="92"/>
      <c r="C32" s="92"/>
      <c r="D32" s="93"/>
      <c r="E32" s="94"/>
      <c r="F32" s="95"/>
      <c r="G32" s="96" t="s">
        <v>907</v>
      </c>
      <c r="H32" s="95"/>
      <c r="I32" s="95"/>
      <c r="J32" s="95"/>
      <c r="K32" s="95"/>
      <c r="L32" s="95"/>
      <c r="M32" s="97" t="s">
        <v>905</v>
      </c>
      <c r="N32" s="98" t="s">
        <v>908</v>
      </c>
      <c r="O32" s="88"/>
      <c r="P32" s="88"/>
      <c r="Q32" s="88"/>
    </row>
    <row r="33" spans="1:17">
      <c r="A33" s="91"/>
      <c r="B33" s="92"/>
      <c r="C33" s="92"/>
      <c r="D33" s="93"/>
      <c r="E33" s="94"/>
      <c r="F33" s="95"/>
      <c r="G33" s="96">
        <f>SUM(G2:G31)</f>
        <v>51</v>
      </c>
      <c r="H33" s="95"/>
      <c r="I33" s="95"/>
      <c r="J33" s="95"/>
      <c r="K33" s="95"/>
      <c r="L33" s="95"/>
      <c r="M33" s="99">
        <f>SUM(M4:M31)</f>
        <v>14</v>
      </c>
      <c r="N33" s="100">
        <f>G33+M33</f>
        <v>65</v>
      </c>
      <c r="O33" s="88"/>
      <c r="P33" s="88"/>
      <c r="Q33" s="88"/>
    </row>
  </sheetData>
  <dataValidations count="1">
    <dataValidation type="list" showInputMessage="1" showErrorMessage="1" errorTitle="D12 Values only." error="Please select from the available values." promptTitle="Select D12 Value" prompt="Select the D12 result you rolled for this level up." sqref="E2:E31">
      <formula1>$U$3:$U$14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T14"/>
  <sheetViews>
    <sheetView workbookViewId="0">
      <selection activeCell="K3" sqref="K3"/>
    </sheetView>
  </sheetViews>
  <sheetFormatPr defaultRowHeight="15"/>
  <cols>
    <col min="1" max="1" width="12.85546875" bestFit="1" customWidth="1"/>
    <col min="2" max="2" width="11.7109375" bestFit="1" customWidth="1"/>
    <col min="3" max="3" width="11.28515625" bestFit="1" customWidth="1"/>
    <col min="4" max="4" width="8.28515625" bestFit="1" customWidth="1"/>
    <col min="5" max="5" width="10.5703125" bestFit="1" customWidth="1"/>
    <col min="6" max="6" width="9.28515625" bestFit="1" customWidth="1"/>
    <col min="7" max="7" width="8.85546875" bestFit="1" customWidth="1"/>
    <col min="8" max="8" width="10.85546875" bestFit="1" customWidth="1"/>
    <col min="9" max="9" width="10.140625" bestFit="1" customWidth="1"/>
    <col min="11" max="11" width="7.28515625" bestFit="1" customWidth="1"/>
    <col min="12" max="12" width="6.5703125" bestFit="1" customWidth="1"/>
    <col min="13" max="13" width="8" bestFit="1" customWidth="1"/>
    <col min="14" max="14" width="8.28515625" bestFit="1" customWidth="1"/>
    <col min="15" max="15" width="5" bestFit="1" customWidth="1"/>
    <col min="16" max="16" width="6.28515625" bestFit="1" customWidth="1"/>
    <col min="17" max="17" width="6" bestFit="1" customWidth="1"/>
    <col min="18" max="18" width="5.28515625" bestFit="1" customWidth="1"/>
    <col min="19" max="19" width="8" bestFit="1" customWidth="1"/>
    <col min="20" max="20" width="8.28515625" bestFit="1" customWidth="1"/>
  </cols>
  <sheetData>
    <row r="1" spans="1:20">
      <c r="A1" s="1" t="s">
        <v>57</v>
      </c>
      <c r="B1" t="s">
        <v>799</v>
      </c>
      <c r="C1" t="s">
        <v>192</v>
      </c>
      <c r="D1" t="s">
        <v>800</v>
      </c>
      <c r="E1" t="s">
        <v>801</v>
      </c>
      <c r="F1" t="s">
        <v>163</v>
      </c>
      <c r="G1" t="s">
        <v>802</v>
      </c>
      <c r="H1" t="s">
        <v>803</v>
      </c>
      <c r="I1" t="s">
        <v>164</v>
      </c>
      <c r="J1" t="s">
        <v>804</v>
      </c>
    </row>
    <row r="2" spans="1:20">
      <c r="A2" s="1" t="s">
        <v>72</v>
      </c>
      <c r="B2" t="s">
        <v>118</v>
      </c>
      <c r="C2" t="s">
        <v>166</v>
      </c>
      <c r="D2" t="s">
        <v>167</v>
      </c>
      <c r="E2" t="s">
        <v>784</v>
      </c>
      <c r="F2" t="s">
        <v>785</v>
      </c>
      <c r="G2" t="s">
        <v>786</v>
      </c>
      <c r="H2" t="s">
        <v>787</v>
      </c>
      <c r="I2" t="s">
        <v>788</v>
      </c>
      <c r="J2" t="s">
        <v>168</v>
      </c>
      <c r="K2" t="s">
        <v>1032</v>
      </c>
      <c r="L2" t="s">
        <v>789</v>
      </c>
    </row>
    <row r="3" spans="1:20">
      <c r="A3" s="1" t="s">
        <v>41</v>
      </c>
      <c r="B3" t="s">
        <v>799</v>
      </c>
      <c r="C3" t="s">
        <v>192</v>
      </c>
      <c r="D3" t="s">
        <v>800</v>
      </c>
      <c r="E3" t="s">
        <v>801</v>
      </c>
      <c r="F3" t="s">
        <v>163</v>
      </c>
      <c r="G3" t="s">
        <v>802</v>
      </c>
      <c r="H3" t="s">
        <v>803</v>
      </c>
      <c r="I3" t="s">
        <v>776</v>
      </c>
      <c r="J3" t="s">
        <v>164</v>
      </c>
      <c r="K3" t="s">
        <v>804</v>
      </c>
    </row>
    <row r="4" spans="1:20">
      <c r="A4" s="1" t="s">
        <v>69</v>
      </c>
      <c r="B4" t="s">
        <v>166</v>
      </c>
      <c r="C4" t="s">
        <v>167</v>
      </c>
      <c r="D4" t="s">
        <v>168</v>
      </c>
      <c r="E4" s="1" t="s">
        <v>807</v>
      </c>
      <c r="F4" t="s">
        <v>192</v>
      </c>
      <c r="G4" t="s">
        <v>799</v>
      </c>
      <c r="H4" t="s">
        <v>800</v>
      </c>
      <c r="I4" t="s">
        <v>801</v>
      </c>
      <c r="J4" t="s">
        <v>163</v>
      </c>
      <c r="K4" t="s">
        <v>802</v>
      </c>
      <c r="L4" t="s">
        <v>803</v>
      </c>
      <c r="M4" t="s">
        <v>164</v>
      </c>
      <c r="N4" t="s">
        <v>804</v>
      </c>
    </row>
    <row r="5" spans="1:20">
      <c r="A5" s="1" t="s">
        <v>44</v>
      </c>
      <c r="B5" t="s">
        <v>118</v>
      </c>
      <c r="C5" t="s">
        <v>784</v>
      </c>
      <c r="D5" t="s">
        <v>785</v>
      </c>
      <c r="E5" t="s">
        <v>786</v>
      </c>
      <c r="F5" t="s">
        <v>788</v>
      </c>
      <c r="G5" t="s">
        <v>185</v>
      </c>
      <c r="H5" t="s">
        <v>186</v>
      </c>
      <c r="I5" t="s">
        <v>805</v>
      </c>
      <c r="J5" t="s">
        <v>802</v>
      </c>
      <c r="K5" t="s">
        <v>806</v>
      </c>
      <c r="L5" t="s">
        <v>789</v>
      </c>
      <c r="M5" t="s">
        <v>803</v>
      </c>
      <c r="N5" t="s">
        <v>776</v>
      </c>
    </row>
    <row r="6" spans="1:20">
      <c r="A6" s="1" t="s">
        <v>24</v>
      </c>
      <c r="B6" t="s">
        <v>192</v>
      </c>
      <c r="C6" t="s">
        <v>799</v>
      </c>
      <c r="D6" t="s">
        <v>800</v>
      </c>
      <c r="E6" t="s">
        <v>801</v>
      </c>
      <c r="F6" t="s">
        <v>163</v>
      </c>
      <c r="G6" t="s">
        <v>802</v>
      </c>
      <c r="H6" t="s">
        <v>803</v>
      </c>
      <c r="I6" t="s">
        <v>164</v>
      </c>
      <c r="J6" t="s">
        <v>804</v>
      </c>
    </row>
    <row r="7" spans="1:20">
      <c r="A7" s="1" t="s">
        <v>203</v>
      </c>
      <c r="B7" t="s">
        <v>118</v>
      </c>
      <c r="C7" t="s">
        <v>800</v>
      </c>
      <c r="D7" t="s">
        <v>166</v>
      </c>
      <c r="E7" t="s">
        <v>167</v>
      </c>
      <c r="F7" t="s">
        <v>168</v>
      </c>
      <c r="G7" t="s">
        <v>776</v>
      </c>
      <c r="J7" s="1"/>
    </row>
    <row r="8" spans="1:20">
      <c r="A8" s="1" t="s">
        <v>17</v>
      </c>
      <c r="B8" t="s">
        <v>780</v>
      </c>
      <c r="C8" t="s">
        <v>781</v>
      </c>
      <c r="D8" t="s">
        <v>167</v>
      </c>
      <c r="E8" t="s">
        <v>782</v>
      </c>
      <c r="F8" t="s">
        <v>783</v>
      </c>
    </row>
    <row r="9" spans="1:20">
      <c r="A9" s="1" t="s">
        <v>47</v>
      </c>
      <c r="B9" t="s">
        <v>118</v>
      </c>
      <c r="C9" t="s">
        <v>800</v>
      </c>
      <c r="D9" t="s">
        <v>166</v>
      </c>
      <c r="E9" t="s">
        <v>167</v>
      </c>
      <c r="F9" t="s">
        <v>784</v>
      </c>
      <c r="G9" t="s">
        <v>785</v>
      </c>
      <c r="H9" t="s">
        <v>786</v>
      </c>
      <c r="I9" t="s">
        <v>788</v>
      </c>
      <c r="J9" t="s">
        <v>168</v>
      </c>
      <c r="K9" t="s">
        <v>1032</v>
      </c>
      <c r="L9" t="s">
        <v>802</v>
      </c>
      <c r="M9" t="s">
        <v>789</v>
      </c>
      <c r="N9" t="s">
        <v>803</v>
      </c>
      <c r="O9" t="s">
        <v>776</v>
      </c>
    </row>
    <row r="10" spans="1:20">
      <c r="A10" s="1"/>
    </row>
    <row r="11" spans="1:20">
      <c r="A11" s="1" t="s">
        <v>1019</v>
      </c>
      <c r="B11" t="s">
        <v>799</v>
      </c>
      <c r="C11" t="s">
        <v>800</v>
      </c>
      <c r="D11" t="s">
        <v>166</v>
      </c>
      <c r="E11" t="s">
        <v>167</v>
      </c>
      <c r="F11" t="s">
        <v>168</v>
      </c>
      <c r="G11" t="s">
        <v>802</v>
      </c>
      <c r="H11" t="s">
        <v>803</v>
      </c>
      <c r="I11" t="s">
        <v>164</v>
      </c>
    </row>
    <row r="12" spans="1:20">
      <c r="A12" s="1" t="s">
        <v>53</v>
      </c>
      <c r="B12" t="s">
        <v>790</v>
      </c>
      <c r="C12" t="s">
        <v>791</v>
      </c>
      <c r="D12" t="s">
        <v>792</v>
      </c>
      <c r="E12" t="s">
        <v>793</v>
      </c>
      <c r="F12" t="s">
        <v>794</v>
      </c>
      <c r="G12" t="s">
        <v>795</v>
      </c>
      <c r="H12" t="s">
        <v>796</v>
      </c>
      <c r="I12" t="s">
        <v>797</v>
      </c>
      <c r="J12" t="s">
        <v>798</v>
      </c>
    </row>
    <row r="13" spans="1:20">
      <c r="A13" s="1" t="s">
        <v>19</v>
      </c>
      <c r="B13" t="s">
        <v>799</v>
      </c>
      <c r="C13" t="s">
        <v>118</v>
      </c>
      <c r="D13" t="s">
        <v>192</v>
      </c>
      <c r="E13" t="s">
        <v>800</v>
      </c>
      <c r="F13" t="s">
        <v>166</v>
      </c>
      <c r="G13" t="s">
        <v>167</v>
      </c>
      <c r="H13" t="s">
        <v>801</v>
      </c>
      <c r="I13" t="s">
        <v>784</v>
      </c>
      <c r="J13" t="s">
        <v>785</v>
      </c>
      <c r="K13" t="s">
        <v>786</v>
      </c>
      <c r="L13" t="s">
        <v>788</v>
      </c>
      <c r="M13" t="s">
        <v>787</v>
      </c>
      <c r="N13" t="s">
        <v>168</v>
      </c>
      <c r="O13" t="s">
        <v>163</v>
      </c>
      <c r="P13" t="s">
        <v>802</v>
      </c>
      <c r="Q13" t="s">
        <v>789</v>
      </c>
      <c r="R13" t="s">
        <v>803</v>
      </c>
      <c r="S13" t="s">
        <v>164</v>
      </c>
      <c r="T13" t="s">
        <v>804</v>
      </c>
    </row>
    <row r="14" spans="1:20">
      <c r="A14" s="1" t="s">
        <v>207</v>
      </c>
      <c r="B14" t="s">
        <v>799</v>
      </c>
      <c r="C14" t="s">
        <v>192</v>
      </c>
      <c r="D14" t="s">
        <v>785</v>
      </c>
      <c r="E14" t="s">
        <v>787</v>
      </c>
      <c r="F14" t="s">
        <v>163</v>
      </c>
      <c r="G14" t="s">
        <v>1032</v>
      </c>
      <c r="H14" t="s">
        <v>803</v>
      </c>
    </row>
  </sheetData>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dimension ref="A1:AM436"/>
  <sheetViews>
    <sheetView topLeftCell="A50" zoomScale="85" zoomScaleNormal="85" workbookViewId="0">
      <selection activeCell="A363" sqref="A363:H366"/>
    </sheetView>
  </sheetViews>
  <sheetFormatPr defaultRowHeight="15"/>
  <cols>
    <col min="1" max="1" width="16.7109375" customWidth="1"/>
    <col min="11" max="11" width="2" style="148" bestFit="1" customWidth="1"/>
    <col min="12" max="12" width="14.85546875" style="28" bestFit="1" customWidth="1"/>
    <col min="13" max="13" width="6" style="28" bestFit="1" customWidth="1"/>
    <col min="14" max="14" width="4.28515625" style="28" bestFit="1" customWidth="1"/>
    <col min="15" max="15" width="6.7109375" style="28" bestFit="1" customWidth="1"/>
    <col min="16" max="16" width="8.7109375" style="28" bestFit="1" customWidth="1"/>
    <col min="17" max="17" width="5.7109375" style="28" bestFit="1" customWidth="1"/>
    <col min="18" max="18" width="7" style="28" bestFit="1" customWidth="1"/>
    <col min="19" max="19" width="17.85546875" style="147" bestFit="1" customWidth="1"/>
    <col min="20" max="20" width="9.140625" style="28"/>
    <col min="21" max="21" width="2" style="148" bestFit="1" customWidth="1"/>
    <col min="22" max="22" width="15" style="28" bestFit="1" customWidth="1"/>
    <col min="23" max="23" width="6" style="28" bestFit="1" customWidth="1"/>
    <col min="24" max="24" width="4.28515625" style="28" bestFit="1" customWidth="1"/>
    <col min="25" max="25" width="6.7109375" style="28" bestFit="1" customWidth="1"/>
    <col min="26" max="26" width="8.7109375" style="28" bestFit="1" customWidth="1"/>
    <col min="27" max="27" width="5.7109375" style="28" bestFit="1" customWidth="1"/>
    <col min="28" max="28" width="7" style="28" bestFit="1" customWidth="1"/>
    <col min="29" max="29" width="16.42578125" style="147" bestFit="1" customWidth="1"/>
    <col min="30" max="30" width="9.140625" style="28"/>
    <col min="31" max="31" width="2" style="28" bestFit="1" customWidth="1"/>
    <col min="32" max="32" width="16.7109375" style="28" bestFit="1" customWidth="1"/>
    <col min="33" max="33" width="6" style="28" bestFit="1" customWidth="1"/>
    <col min="34" max="34" width="4.28515625" style="28" bestFit="1" customWidth="1"/>
    <col min="35" max="35" width="6.7109375" style="28" bestFit="1" customWidth="1"/>
    <col min="36" max="36" width="8.7109375" style="28" bestFit="1" customWidth="1"/>
    <col min="37" max="37" width="5.7109375" style="28" bestFit="1" customWidth="1"/>
    <col min="38" max="38" width="7" style="28" bestFit="1" customWidth="1"/>
    <col min="39" max="39" width="22.42578125" style="147" bestFit="1" customWidth="1"/>
  </cols>
  <sheetData>
    <row r="1" spans="1:39">
      <c r="A1" s="211" t="s">
        <v>707</v>
      </c>
      <c r="B1" s="211"/>
      <c r="C1" s="211"/>
      <c r="D1" s="211"/>
      <c r="E1" s="211"/>
      <c r="F1" s="211"/>
      <c r="G1" s="211"/>
      <c r="H1" s="211"/>
      <c r="I1" s="211"/>
    </row>
    <row r="2" spans="1:39">
      <c r="A2" s="216" t="s">
        <v>706</v>
      </c>
      <c r="B2" s="216"/>
      <c r="C2" s="216"/>
      <c r="D2" s="216"/>
      <c r="E2" s="28"/>
      <c r="F2" s="28"/>
      <c r="G2" s="28"/>
      <c r="H2" s="28"/>
      <c r="I2" s="28"/>
    </row>
    <row r="3" spans="1:39" ht="19.5">
      <c r="A3" s="43" t="s">
        <v>141</v>
      </c>
      <c r="B3" s="43" t="s">
        <v>703</v>
      </c>
      <c r="C3" s="43" t="s">
        <v>702</v>
      </c>
      <c r="D3" s="43" t="s">
        <v>701</v>
      </c>
      <c r="E3" s="28"/>
      <c r="F3" s="28"/>
      <c r="G3" s="28"/>
      <c r="H3" s="28"/>
      <c r="I3" s="28"/>
      <c r="L3"/>
      <c r="M3"/>
      <c r="N3"/>
      <c r="O3"/>
      <c r="P3"/>
      <c r="Q3"/>
      <c r="R3"/>
      <c r="S3"/>
      <c r="T3"/>
      <c r="U3"/>
      <c r="V3"/>
      <c r="W3"/>
      <c r="X3"/>
      <c r="Y3"/>
      <c r="Z3"/>
      <c r="AA3"/>
      <c r="AB3"/>
      <c r="AC3"/>
      <c r="AD3"/>
      <c r="AE3"/>
      <c r="AF3"/>
      <c r="AG3"/>
      <c r="AH3"/>
      <c r="AI3"/>
      <c r="AJ3"/>
      <c r="AK3"/>
      <c r="AL3"/>
      <c r="AM3"/>
    </row>
    <row r="4" spans="1:39">
      <c r="A4" s="42" t="s">
        <v>211</v>
      </c>
      <c r="B4" s="42">
        <v>5</v>
      </c>
      <c r="C4" s="42">
        <v>9</v>
      </c>
      <c r="D4" s="42">
        <v>15</v>
      </c>
      <c r="E4" s="28"/>
      <c r="F4" s="28"/>
      <c r="G4" s="28"/>
      <c r="H4" s="28"/>
      <c r="I4" s="28"/>
      <c r="L4"/>
      <c r="M4"/>
      <c r="N4"/>
      <c r="O4"/>
      <c r="P4"/>
      <c r="Q4"/>
      <c r="R4"/>
      <c r="S4"/>
      <c r="T4"/>
      <c r="U4"/>
      <c r="V4"/>
      <c r="W4"/>
      <c r="X4"/>
      <c r="Y4"/>
      <c r="Z4"/>
      <c r="AA4"/>
      <c r="AB4"/>
      <c r="AC4"/>
      <c r="AD4"/>
      <c r="AE4"/>
      <c r="AF4"/>
      <c r="AG4"/>
      <c r="AH4"/>
      <c r="AI4"/>
      <c r="AJ4"/>
      <c r="AK4"/>
      <c r="AL4"/>
      <c r="AM4"/>
    </row>
    <row r="5" spans="1:39">
      <c r="A5" s="42" t="s">
        <v>225</v>
      </c>
      <c r="B5" s="42">
        <v>4</v>
      </c>
      <c r="C5" s="42">
        <v>7</v>
      </c>
      <c r="D5" s="42">
        <v>11</v>
      </c>
      <c r="E5" s="28"/>
      <c r="F5" s="28"/>
      <c r="G5" s="28"/>
      <c r="H5" s="28"/>
      <c r="I5" s="28"/>
      <c r="L5"/>
      <c r="M5"/>
      <c r="N5"/>
      <c r="O5"/>
      <c r="P5"/>
      <c r="Q5"/>
      <c r="R5"/>
      <c r="S5"/>
      <c r="T5"/>
      <c r="U5"/>
      <c r="V5"/>
      <c r="W5"/>
      <c r="X5"/>
      <c r="Y5"/>
      <c r="Z5"/>
      <c r="AA5"/>
      <c r="AB5"/>
      <c r="AC5"/>
      <c r="AD5"/>
      <c r="AE5"/>
      <c r="AF5"/>
      <c r="AG5"/>
      <c r="AH5"/>
      <c r="AI5"/>
      <c r="AJ5"/>
      <c r="AK5"/>
      <c r="AL5"/>
      <c r="AM5"/>
    </row>
    <row r="6" spans="1:39" ht="15" customHeight="1">
      <c r="A6" s="42" t="s">
        <v>228</v>
      </c>
      <c r="B6" s="42">
        <v>3</v>
      </c>
      <c r="C6" s="42">
        <v>6</v>
      </c>
      <c r="D6" s="42">
        <v>9</v>
      </c>
      <c r="E6" s="28"/>
      <c r="F6" s="28"/>
      <c r="G6" s="28"/>
      <c r="H6" s="28"/>
      <c r="I6" s="28"/>
      <c r="L6"/>
      <c r="M6"/>
      <c r="N6"/>
      <c r="O6"/>
      <c r="P6"/>
      <c r="Q6"/>
      <c r="R6"/>
      <c r="S6"/>
      <c r="T6"/>
      <c r="U6"/>
      <c r="V6"/>
      <c r="W6"/>
      <c r="X6"/>
      <c r="Y6"/>
      <c r="Z6"/>
      <c r="AA6"/>
      <c r="AB6"/>
      <c r="AC6"/>
      <c r="AD6"/>
      <c r="AE6"/>
      <c r="AF6"/>
      <c r="AG6"/>
      <c r="AH6"/>
      <c r="AI6"/>
      <c r="AJ6"/>
      <c r="AK6"/>
      <c r="AL6"/>
      <c r="AM6"/>
    </row>
    <row r="7" spans="1:39">
      <c r="A7" s="210"/>
      <c r="B7" s="210"/>
      <c r="C7" s="210"/>
      <c r="D7" s="210"/>
      <c r="E7" s="210"/>
      <c r="F7" s="210"/>
      <c r="G7" s="210"/>
      <c r="H7" s="210"/>
      <c r="I7" s="210"/>
      <c r="L7"/>
      <c r="M7"/>
      <c r="N7"/>
      <c r="O7"/>
      <c r="P7"/>
      <c r="Q7"/>
      <c r="R7"/>
      <c r="S7"/>
      <c r="T7"/>
      <c r="U7"/>
      <c r="V7"/>
      <c r="W7"/>
      <c r="X7"/>
      <c r="Y7"/>
      <c r="Z7"/>
      <c r="AA7"/>
      <c r="AB7"/>
      <c r="AC7"/>
      <c r="AD7"/>
      <c r="AE7"/>
      <c r="AF7"/>
      <c r="AG7"/>
      <c r="AH7"/>
      <c r="AI7"/>
      <c r="AJ7"/>
      <c r="AK7"/>
      <c r="AL7"/>
      <c r="AM7"/>
    </row>
    <row r="8" spans="1:39" ht="15.75">
      <c r="A8" s="202" t="s">
        <v>705</v>
      </c>
      <c r="B8" s="202"/>
      <c r="C8" s="202"/>
      <c r="D8" s="202"/>
      <c r="E8" s="202"/>
      <c r="F8" s="202"/>
      <c r="G8" s="202"/>
      <c r="H8" s="202"/>
      <c r="I8" s="202"/>
      <c r="L8"/>
      <c r="M8"/>
      <c r="N8"/>
      <c r="O8"/>
      <c r="P8"/>
      <c r="Q8"/>
      <c r="R8"/>
      <c r="S8"/>
      <c r="T8"/>
      <c r="U8"/>
      <c r="V8"/>
      <c r="W8"/>
      <c r="X8"/>
      <c r="Y8"/>
      <c r="Z8"/>
      <c r="AA8"/>
      <c r="AB8"/>
      <c r="AC8"/>
      <c r="AD8"/>
      <c r="AE8"/>
      <c r="AF8"/>
      <c r="AG8"/>
      <c r="AH8"/>
      <c r="AI8"/>
      <c r="AJ8"/>
      <c r="AK8"/>
      <c r="AL8"/>
      <c r="AM8"/>
    </row>
    <row r="9" spans="1:39">
      <c r="A9" s="216" t="s">
        <v>704</v>
      </c>
      <c r="B9" s="216"/>
      <c r="C9" s="216"/>
      <c r="D9" s="216"/>
      <c r="E9" s="28"/>
      <c r="F9" s="28"/>
      <c r="G9" s="28"/>
      <c r="H9" s="28"/>
      <c r="I9" s="28"/>
    </row>
    <row r="10" spans="1:39" ht="19.5">
      <c r="A10" s="43" t="s">
        <v>141</v>
      </c>
      <c r="B10" s="43" t="s">
        <v>703</v>
      </c>
      <c r="C10" s="43" t="s">
        <v>702</v>
      </c>
      <c r="D10" s="43" t="s">
        <v>701</v>
      </c>
      <c r="E10" s="28"/>
      <c r="F10" s="28"/>
      <c r="G10" s="28"/>
      <c r="H10" s="28"/>
      <c r="I10" s="28"/>
    </row>
    <row r="11" spans="1:39">
      <c r="A11" s="42" t="s">
        <v>211</v>
      </c>
      <c r="B11" s="42">
        <v>3</v>
      </c>
      <c r="C11" s="42">
        <v>6</v>
      </c>
      <c r="D11" s="42">
        <v>12</v>
      </c>
      <c r="E11" s="28"/>
      <c r="F11" s="28"/>
      <c r="G11" s="28"/>
      <c r="H11" s="28"/>
      <c r="I11" s="28"/>
    </row>
    <row r="12" spans="1:39">
      <c r="A12" s="42" t="s">
        <v>225</v>
      </c>
      <c r="B12" s="42">
        <v>3</v>
      </c>
      <c r="C12" s="42">
        <v>5</v>
      </c>
      <c r="D12" s="42">
        <v>8</v>
      </c>
      <c r="E12" s="28"/>
      <c r="F12" s="28"/>
      <c r="G12" s="28"/>
      <c r="H12" s="28"/>
      <c r="I12" s="28"/>
    </row>
    <row r="13" spans="1:39">
      <c r="A13" s="42" t="s">
        <v>228</v>
      </c>
      <c r="B13" s="42">
        <v>2</v>
      </c>
      <c r="C13" s="42">
        <v>4</v>
      </c>
      <c r="D13" s="42">
        <v>6</v>
      </c>
      <c r="E13" s="28"/>
      <c r="F13" s="28"/>
      <c r="G13" s="28"/>
      <c r="H13" s="28"/>
      <c r="I13" s="28"/>
    </row>
    <row r="14" spans="1:39">
      <c r="A14" s="210"/>
      <c r="B14" s="210"/>
      <c r="C14" s="210"/>
      <c r="D14" s="210"/>
      <c r="E14" s="210"/>
      <c r="F14" s="210"/>
      <c r="G14" s="210"/>
      <c r="H14" s="210"/>
      <c r="I14" s="210"/>
    </row>
    <row r="15" spans="1:39" ht="15.75">
      <c r="A15" s="202" t="s">
        <v>700</v>
      </c>
      <c r="B15" s="202"/>
      <c r="C15" s="202"/>
      <c r="D15" s="202"/>
      <c r="E15" s="202"/>
      <c r="F15" s="202"/>
      <c r="G15" s="202"/>
      <c r="H15" s="202"/>
      <c r="I15" s="202"/>
    </row>
    <row r="16" spans="1:39">
      <c r="A16" s="28"/>
      <c r="B16" s="28"/>
      <c r="C16" s="28"/>
      <c r="D16" s="28"/>
      <c r="E16" s="28"/>
      <c r="F16" s="28"/>
      <c r="G16" s="28"/>
      <c r="H16" s="28"/>
      <c r="I16" s="28"/>
    </row>
    <row r="17" spans="1:9">
      <c r="A17" s="200" t="s">
        <v>699</v>
      </c>
      <c r="B17" s="200"/>
      <c r="C17" s="200"/>
      <c r="D17" s="200"/>
      <c r="E17" s="200"/>
      <c r="F17" s="200"/>
      <c r="G17" s="200"/>
      <c r="H17" s="200"/>
      <c r="I17" s="200"/>
    </row>
    <row r="18" spans="1:9">
      <c r="A18" s="17" t="s">
        <v>140</v>
      </c>
      <c r="B18" s="17" t="s">
        <v>242</v>
      </c>
      <c r="C18" s="17" t="s">
        <v>241</v>
      </c>
      <c r="D18" s="17" t="s">
        <v>240</v>
      </c>
      <c r="E18" s="17" t="s">
        <v>239</v>
      </c>
      <c r="F18" s="17" t="s">
        <v>238</v>
      </c>
      <c r="G18" s="17" t="s">
        <v>237</v>
      </c>
      <c r="H18" s="17" t="s">
        <v>236</v>
      </c>
      <c r="I18" s="17" t="s">
        <v>235</v>
      </c>
    </row>
    <row r="19" spans="1:9" ht="15.75">
      <c r="A19" s="36" t="s">
        <v>698</v>
      </c>
      <c r="B19" s="38">
        <v>100</v>
      </c>
      <c r="C19" s="38">
        <v>1</v>
      </c>
      <c r="D19" s="38">
        <v>4</v>
      </c>
      <c r="E19" s="38" t="s">
        <v>210</v>
      </c>
      <c r="F19" s="38" t="s">
        <v>228</v>
      </c>
      <c r="G19" s="38" t="s">
        <v>228</v>
      </c>
      <c r="H19" s="38"/>
      <c r="I19" s="37"/>
    </row>
    <row r="20" spans="1:9" ht="19.5">
      <c r="A20" s="36" t="s">
        <v>697</v>
      </c>
      <c r="B20" s="38">
        <v>200</v>
      </c>
      <c r="C20" s="38">
        <v>1</v>
      </c>
      <c r="D20" s="38">
        <v>7</v>
      </c>
      <c r="E20" s="38" t="s">
        <v>210</v>
      </c>
      <c r="F20" s="38" t="s">
        <v>228</v>
      </c>
      <c r="G20" s="38" t="s">
        <v>228</v>
      </c>
      <c r="H20" s="38" t="s">
        <v>696</v>
      </c>
      <c r="I20" s="37"/>
    </row>
    <row r="21" spans="1:9" ht="19.5">
      <c r="A21" s="16" t="s">
        <v>695</v>
      </c>
      <c r="B21" s="8">
        <v>1600</v>
      </c>
      <c r="C21" s="8">
        <v>1</v>
      </c>
      <c r="D21" s="8">
        <v>12</v>
      </c>
      <c r="E21" s="8" t="s">
        <v>210</v>
      </c>
      <c r="F21" s="8" t="s">
        <v>228</v>
      </c>
      <c r="G21" s="8" t="s">
        <v>225</v>
      </c>
      <c r="H21" s="8" t="s">
        <v>682</v>
      </c>
      <c r="I21" s="7"/>
    </row>
    <row r="22" spans="1:9">
      <c r="A22" s="36" t="s">
        <v>694</v>
      </c>
      <c r="B22" s="204">
        <v>6400</v>
      </c>
      <c r="C22" s="204">
        <v>1</v>
      </c>
      <c r="D22" s="204">
        <v>19</v>
      </c>
      <c r="E22" s="204" t="s">
        <v>210</v>
      </c>
      <c r="F22" s="204" t="s">
        <v>225</v>
      </c>
      <c r="G22" s="204" t="s">
        <v>211</v>
      </c>
      <c r="H22" s="204" t="s">
        <v>693</v>
      </c>
      <c r="I22" s="205"/>
    </row>
    <row r="23" spans="1:9">
      <c r="A23" s="35" t="s">
        <v>692</v>
      </c>
      <c r="B23" s="204"/>
      <c r="C23" s="204"/>
      <c r="D23" s="204"/>
      <c r="E23" s="204"/>
      <c r="F23" s="204"/>
      <c r="G23" s="204"/>
      <c r="H23" s="204"/>
      <c r="I23" s="205"/>
    </row>
    <row r="24" spans="1:9">
      <c r="A24" s="14" t="s">
        <v>691</v>
      </c>
      <c r="B24" s="198">
        <v>8000</v>
      </c>
      <c r="C24" s="198">
        <v>1</v>
      </c>
      <c r="D24" s="198">
        <v>19</v>
      </c>
      <c r="E24" s="198" t="s">
        <v>210</v>
      </c>
      <c r="F24" s="198" t="s">
        <v>211</v>
      </c>
      <c r="G24" s="198" t="s">
        <v>211</v>
      </c>
      <c r="H24" s="198" t="s">
        <v>690</v>
      </c>
      <c r="I24" s="199"/>
    </row>
    <row r="25" spans="1:9">
      <c r="A25" s="13" t="s">
        <v>689</v>
      </c>
      <c r="B25" s="198"/>
      <c r="C25" s="198"/>
      <c r="D25" s="198"/>
      <c r="E25" s="198"/>
      <c r="F25" s="198"/>
      <c r="G25" s="198"/>
      <c r="H25" s="198"/>
      <c r="I25" s="199"/>
    </row>
    <row r="26" spans="1:9" ht="29.25">
      <c r="A26" s="34" t="s">
        <v>688</v>
      </c>
      <c r="B26" s="204">
        <v>11000</v>
      </c>
      <c r="C26" s="204">
        <v>1</v>
      </c>
      <c r="D26" s="204">
        <v>20</v>
      </c>
      <c r="E26" s="204" t="s">
        <v>210</v>
      </c>
      <c r="F26" s="204" t="s">
        <v>211</v>
      </c>
      <c r="G26" s="204" t="s">
        <v>211</v>
      </c>
      <c r="H26" s="38" t="s">
        <v>687</v>
      </c>
      <c r="I26" s="205"/>
    </row>
    <row r="27" spans="1:9" ht="19.5">
      <c r="A27" s="33" t="s">
        <v>686</v>
      </c>
      <c r="B27" s="204"/>
      <c r="C27" s="204"/>
      <c r="D27" s="204"/>
      <c r="E27" s="204"/>
      <c r="F27" s="204"/>
      <c r="G27" s="204"/>
      <c r="H27" s="38" t="s">
        <v>387</v>
      </c>
      <c r="I27" s="205"/>
    </row>
    <row r="28" spans="1:9" ht="39">
      <c r="A28" s="14" t="s">
        <v>685</v>
      </c>
      <c r="B28" s="198">
        <v>14000</v>
      </c>
      <c r="C28" s="198">
        <v>1</v>
      </c>
      <c r="D28" s="198">
        <v>21</v>
      </c>
      <c r="E28" s="198" t="s">
        <v>283</v>
      </c>
      <c r="F28" s="198" t="s">
        <v>211</v>
      </c>
      <c r="G28" s="198" t="s">
        <v>211</v>
      </c>
      <c r="H28" s="8" t="s">
        <v>684</v>
      </c>
      <c r="I28" s="199"/>
    </row>
    <row r="29" spans="1:9" ht="19.5">
      <c r="A29" s="13" t="s">
        <v>683</v>
      </c>
      <c r="B29" s="198"/>
      <c r="C29" s="198"/>
      <c r="D29" s="198"/>
      <c r="E29" s="198"/>
      <c r="F29" s="198"/>
      <c r="G29" s="198"/>
      <c r="H29" s="8" t="s">
        <v>682</v>
      </c>
      <c r="I29" s="199"/>
    </row>
    <row r="30" spans="1:9">
      <c r="A30" s="40" t="s">
        <v>681</v>
      </c>
      <c r="B30" s="204">
        <v>15000</v>
      </c>
      <c r="C30" s="204">
        <v>1</v>
      </c>
      <c r="D30" s="204">
        <v>19</v>
      </c>
      <c r="E30" s="204" t="s">
        <v>210</v>
      </c>
      <c r="F30" s="204" t="s">
        <v>211</v>
      </c>
      <c r="G30" s="204" t="s">
        <v>211</v>
      </c>
      <c r="H30" s="204" t="s">
        <v>680</v>
      </c>
      <c r="I30" s="205"/>
    </row>
    <row r="31" spans="1:9">
      <c r="A31" s="41" t="s">
        <v>679</v>
      </c>
      <c r="B31" s="204"/>
      <c r="C31" s="204"/>
      <c r="D31" s="204"/>
      <c r="E31" s="204"/>
      <c r="F31" s="204"/>
      <c r="G31" s="204"/>
      <c r="H31" s="204"/>
      <c r="I31" s="205"/>
    </row>
    <row r="32" spans="1:9" ht="29.25">
      <c r="A32" s="19" t="s">
        <v>678</v>
      </c>
      <c r="B32" s="198">
        <v>17000</v>
      </c>
      <c r="C32" s="198">
        <v>1</v>
      </c>
      <c r="D32" s="198">
        <v>21</v>
      </c>
      <c r="E32" s="8" t="s">
        <v>283</v>
      </c>
      <c r="F32" s="198" t="s">
        <v>211</v>
      </c>
      <c r="G32" s="198" t="s">
        <v>211</v>
      </c>
      <c r="H32" s="8" t="s">
        <v>677</v>
      </c>
      <c r="I32" s="199"/>
    </row>
    <row r="33" spans="1:9" ht="19.5">
      <c r="A33" s="18" t="s">
        <v>676</v>
      </c>
      <c r="B33" s="198"/>
      <c r="C33" s="198"/>
      <c r="D33" s="198"/>
      <c r="E33" s="8" t="s">
        <v>675</v>
      </c>
      <c r="F33" s="198"/>
      <c r="G33" s="198"/>
      <c r="H33" s="8" t="s">
        <v>674</v>
      </c>
      <c r="I33" s="199"/>
    </row>
    <row r="34" spans="1:9" ht="29.25">
      <c r="A34" s="212" t="s">
        <v>673</v>
      </c>
      <c r="B34" s="204">
        <v>16000</v>
      </c>
      <c r="C34" s="204">
        <v>1</v>
      </c>
      <c r="D34" s="204">
        <v>20</v>
      </c>
      <c r="E34" s="204" t="s">
        <v>210</v>
      </c>
      <c r="F34" s="204" t="s">
        <v>211</v>
      </c>
      <c r="G34" s="204" t="s">
        <v>211</v>
      </c>
      <c r="H34" s="38" t="s">
        <v>672</v>
      </c>
      <c r="I34" s="205"/>
    </row>
    <row r="35" spans="1:9" ht="19.5">
      <c r="A35" s="212"/>
      <c r="B35" s="204"/>
      <c r="C35" s="204"/>
      <c r="D35" s="204"/>
      <c r="E35" s="204"/>
      <c r="F35" s="204"/>
      <c r="G35" s="204"/>
      <c r="H35" s="38" t="s">
        <v>671</v>
      </c>
      <c r="I35" s="205"/>
    </row>
    <row r="36" spans="1:9" ht="39">
      <c r="A36" s="215" t="s">
        <v>670</v>
      </c>
      <c r="B36" s="198">
        <v>15000</v>
      </c>
      <c r="C36" s="198">
        <v>1</v>
      </c>
      <c r="D36" s="198">
        <v>23</v>
      </c>
      <c r="E36" s="198" t="s">
        <v>210</v>
      </c>
      <c r="F36" s="198" t="s">
        <v>211</v>
      </c>
      <c r="G36" s="198" t="s">
        <v>211</v>
      </c>
      <c r="H36" s="8" t="s">
        <v>669</v>
      </c>
      <c r="I36" s="199"/>
    </row>
    <row r="37" spans="1:9" ht="39">
      <c r="A37" s="215"/>
      <c r="B37" s="198"/>
      <c r="C37" s="198"/>
      <c r="D37" s="198"/>
      <c r="E37" s="198"/>
      <c r="F37" s="198"/>
      <c r="G37" s="198"/>
      <c r="H37" s="8" t="s">
        <v>668</v>
      </c>
      <c r="I37" s="199"/>
    </row>
    <row r="38" spans="1:9">
      <c r="A38" s="203"/>
      <c r="B38" s="203"/>
      <c r="C38" s="203"/>
      <c r="D38" s="203"/>
      <c r="E38" s="203"/>
      <c r="F38" s="203"/>
      <c r="G38" s="203"/>
      <c r="H38" s="203"/>
      <c r="I38" s="203"/>
    </row>
    <row r="39" spans="1:9">
      <c r="A39" s="203"/>
      <c r="B39" s="203"/>
      <c r="C39" s="203"/>
      <c r="D39" s="203"/>
      <c r="E39" s="203"/>
      <c r="F39" s="203"/>
      <c r="G39" s="203"/>
      <c r="H39" s="203"/>
      <c r="I39" s="203"/>
    </row>
    <row r="40" spans="1:9">
      <c r="A40" s="200" t="s">
        <v>667</v>
      </c>
      <c r="B40" s="200"/>
      <c r="C40" s="200"/>
      <c r="D40" s="200"/>
      <c r="E40" s="200"/>
      <c r="F40" s="200"/>
      <c r="G40" s="200"/>
      <c r="H40" s="200"/>
      <c r="I40" s="200"/>
    </row>
    <row r="41" spans="1:9">
      <c r="A41" s="17" t="s">
        <v>140</v>
      </c>
      <c r="B41" s="17" t="s">
        <v>242</v>
      </c>
      <c r="C41" s="17" t="s">
        <v>241</v>
      </c>
      <c r="D41" s="17" t="s">
        <v>240</v>
      </c>
      <c r="E41" s="17" t="s">
        <v>239</v>
      </c>
      <c r="F41" s="17" t="s">
        <v>238</v>
      </c>
      <c r="G41" s="17" t="s">
        <v>237</v>
      </c>
      <c r="H41" s="17" t="s">
        <v>236</v>
      </c>
      <c r="I41" s="17" t="s">
        <v>235</v>
      </c>
    </row>
    <row r="42" spans="1:9">
      <c r="A42" s="36" t="s">
        <v>666</v>
      </c>
      <c r="B42" s="204">
        <v>250</v>
      </c>
      <c r="C42" s="204">
        <v>2</v>
      </c>
      <c r="D42" s="204">
        <v>8</v>
      </c>
      <c r="E42" s="204" t="s">
        <v>210</v>
      </c>
      <c r="F42" s="204" t="s">
        <v>228</v>
      </c>
      <c r="G42" s="204" t="s">
        <v>210</v>
      </c>
      <c r="H42" s="204" t="s">
        <v>210</v>
      </c>
      <c r="I42" s="205"/>
    </row>
    <row r="43" spans="1:9">
      <c r="A43" s="35" t="s">
        <v>665</v>
      </c>
      <c r="B43" s="204"/>
      <c r="C43" s="204"/>
      <c r="D43" s="204"/>
      <c r="E43" s="204"/>
      <c r="F43" s="204"/>
      <c r="G43" s="204"/>
      <c r="H43" s="204"/>
      <c r="I43" s="205"/>
    </row>
    <row r="44" spans="1:9">
      <c r="A44" s="16" t="s">
        <v>664</v>
      </c>
      <c r="B44" s="198">
        <v>1200</v>
      </c>
      <c r="C44" s="198">
        <v>2</v>
      </c>
      <c r="D44" s="198">
        <v>12</v>
      </c>
      <c r="E44" s="198" t="s">
        <v>210</v>
      </c>
      <c r="F44" s="198" t="s">
        <v>228</v>
      </c>
      <c r="G44" s="198" t="s">
        <v>210</v>
      </c>
      <c r="H44" s="198" t="s">
        <v>210</v>
      </c>
      <c r="I44" s="199"/>
    </row>
    <row r="45" spans="1:9">
      <c r="A45" s="25" t="s">
        <v>663</v>
      </c>
      <c r="B45" s="198"/>
      <c r="C45" s="198"/>
      <c r="D45" s="198"/>
      <c r="E45" s="198"/>
      <c r="F45" s="198"/>
      <c r="G45" s="198"/>
      <c r="H45" s="198"/>
      <c r="I45" s="199"/>
    </row>
    <row r="46" spans="1:9">
      <c r="A46" s="36" t="s">
        <v>662</v>
      </c>
      <c r="B46" s="204">
        <v>4500</v>
      </c>
      <c r="C46" s="204" t="s">
        <v>327</v>
      </c>
      <c r="D46" s="204">
        <v>17</v>
      </c>
      <c r="E46" s="204" t="s">
        <v>210</v>
      </c>
      <c r="F46" s="204" t="s">
        <v>228</v>
      </c>
      <c r="G46" s="204" t="s">
        <v>210</v>
      </c>
      <c r="H46" s="204" t="s">
        <v>441</v>
      </c>
      <c r="I46" s="205"/>
    </row>
    <row r="47" spans="1:9">
      <c r="A47" s="35" t="s">
        <v>661</v>
      </c>
      <c r="B47" s="204"/>
      <c r="C47" s="204"/>
      <c r="D47" s="204"/>
      <c r="E47" s="204"/>
      <c r="F47" s="204"/>
      <c r="G47" s="204"/>
      <c r="H47" s="204"/>
      <c r="I47" s="205"/>
    </row>
    <row r="48" spans="1:9">
      <c r="A48" s="16" t="s">
        <v>660</v>
      </c>
      <c r="B48" s="198">
        <v>12400</v>
      </c>
      <c r="C48" s="198" t="s">
        <v>327</v>
      </c>
      <c r="D48" s="198">
        <v>23</v>
      </c>
      <c r="E48" s="198" t="s">
        <v>210</v>
      </c>
      <c r="F48" s="198" t="s">
        <v>225</v>
      </c>
      <c r="G48" s="198" t="s">
        <v>210</v>
      </c>
      <c r="H48" s="198" t="s">
        <v>210</v>
      </c>
      <c r="I48" s="199"/>
    </row>
    <row r="49" spans="1:9">
      <c r="A49" s="25" t="s">
        <v>659</v>
      </c>
      <c r="B49" s="198"/>
      <c r="C49" s="198"/>
      <c r="D49" s="198"/>
      <c r="E49" s="198"/>
      <c r="F49" s="198"/>
      <c r="G49" s="198"/>
      <c r="H49" s="198"/>
      <c r="I49" s="199"/>
    </row>
    <row r="50" spans="1:9" ht="19.5">
      <c r="A50" s="34" t="s">
        <v>658</v>
      </c>
      <c r="B50" s="204">
        <v>17000</v>
      </c>
      <c r="C50" s="204" t="s">
        <v>327</v>
      </c>
      <c r="D50" s="204">
        <v>23</v>
      </c>
      <c r="E50" s="204" t="s">
        <v>229</v>
      </c>
      <c r="F50" s="204" t="s">
        <v>211</v>
      </c>
      <c r="G50" s="204" t="s">
        <v>210</v>
      </c>
      <c r="H50" s="204" t="s">
        <v>657</v>
      </c>
      <c r="I50" s="205"/>
    </row>
    <row r="51" spans="1:9">
      <c r="A51" s="33" t="s">
        <v>656</v>
      </c>
      <c r="B51" s="204"/>
      <c r="C51" s="204"/>
      <c r="D51" s="204"/>
      <c r="E51" s="204"/>
      <c r="F51" s="204"/>
      <c r="G51" s="204"/>
      <c r="H51" s="204"/>
      <c r="I51" s="205"/>
    </row>
    <row r="52" spans="1:9" ht="19.5">
      <c r="A52" s="14" t="s">
        <v>655</v>
      </c>
      <c r="B52" s="198">
        <v>21000</v>
      </c>
      <c r="C52" s="198" t="s">
        <v>327</v>
      </c>
      <c r="D52" s="198">
        <v>24</v>
      </c>
      <c r="E52" s="198" t="s">
        <v>345</v>
      </c>
      <c r="F52" s="198" t="s">
        <v>211</v>
      </c>
      <c r="G52" s="198" t="s">
        <v>210</v>
      </c>
      <c r="H52" s="198" t="s">
        <v>654</v>
      </c>
      <c r="I52" s="199"/>
    </row>
    <row r="53" spans="1:9">
      <c r="A53" s="13" t="s">
        <v>653</v>
      </c>
      <c r="B53" s="198"/>
      <c r="C53" s="198"/>
      <c r="D53" s="198"/>
      <c r="E53" s="198"/>
      <c r="F53" s="198"/>
      <c r="G53" s="198"/>
      <c r="H53" s="198"/>
      <c r="I53" s="199"/>
    </row>
    <row r="54" spans="1:9" ht="19.5">
      <c r="A54" s="34" t="s">
        <v>652</v>
      </c>
      <c r="B54" s="204">
        <v>24000</v>
      </c>
      <c r="C54" s="204" t="s">
        <v>327</v>
      </c>
      <c r="D54" s="204">
        <v>25</v>
      </c>
      <c r="E54" s="204" t="s">
        <v>283</v>
      </c>
      <c r="F54" s="204" t="s">
        <v>211</v>
      </c>
      <c r="G54" s="204" t="s">
        <v>210</v>
      </c>
      <c r="H54" s="204" t="s">
        <v>651</v>
      </c>
      <c r="I54" s="205"/>
    </row>
    <row r="55" spans="1:9">
      <c r="A55" s="33" t="s">
        <v>650</v>
      </c>
      <c r="B55" s="204"/>
      <c r="C55" s="204"/>
      <c r="D55" s="204"/>
      <c r="E55" s="204"/>
      <c r="F55" s="204"/>
      <c r="G55" s="204"/>
      <c r="H55" s="204"/>
      <c r="I55" s="205"/>
    </row>
    <row r="56" spans="1:9">
      <c r="A56" s="27" t="s">
        <v>649</v>
      </c>
      <c r="B56" s="198">
        <v>26000</v>
      </c>
      <c r="C56" s="198" t="s">
        <v>327</v>
      </c>
      <c r="D56" s="198">
        <v>23</v>
      </c>
      <c r="E56" s="198" t="s">
        <v>210</v>
      </c>
      <c r="F56" s="198" t="s">
        <v>211</v>
      </c>
      <c r="G56" s="198" t="s">
        <v>210</v>
      </c>
      <c r="H56" s="198" t="s">
        <v>648</v>
      </c>
      <c r="I56" s="199"/>
    </row>
    <row r="57" spans="1:9">
      <c r="A57" s="26" t="s">
        <v>647</v>
      </c>
      <c r="B57" s="198"/>
      <c r="C57" s="198"/>
      <c r="D57" s="198"/>
      <c r="E57" s="198"/>
      <c r="F57" s="198"/>
      <c r="G57" s="198"/>
      <c r="H57" s="198"/>
      <c r="I57" s="199"/>
    </row>
    <row r="58" spans="1:9" ht="19.5">
      <c r="A58" s="39" t="s">
        <v>646</v>
      </c>
      <c r="B58" s="38">
        <v>28000</v>
      </c>
      <c r="C58" s="38" t="s">
        <v>327</v>
      </c>
      <c r="D58" s="38">
        <v>30</v>
      </c>
      <c r="E58" s="38" t="s">
        <v>210</v>
      </c>
      <c r="F58" s="38" t="s">
        <v>211</v>
      </c>
      <c r="G58" s="38" t="s">
        <v>210</v>
      </c>
      <c r="H58" s="38" t="s">
        <v>645</v>
      </c>
      <c r="I58" s="37"/>
    </row>
    <row r="59" spans="1:9">
      <c r="A59" s="203"/>
      <c r="B59" s="203"/>
      <c r="C59" s="203"/>
      <c r="D59" s="203"/>
      <c r="E59" s="203"/>
      <c r="F59" s="203"/>
      <c r="G59" s="203"/>
      <c r="H59" s="203"/>
      <c r="I59" s="203"/>
    </row>
    <row r="60" spans="1:9">
      <c r="A60" s="203"/>
      <c r="B60" s="203"/>
      <c r="C60" s="203"/>
      <c r="D60" s="203"/>
      <c r="E60" s="203"/>
      <c r="F60" s="203"/>
      <c r="G60" s="203"/>
      <c r="H60" s="203"/>
      <c r="I60" s="203"/>
    </row>
    <row r="61" spans="1:9">
      <c r="A61" s="200" t="s">
        <v>938</v>
      </c>
      <c r="B61" s="200"/>
      <c r="C61" s="200"/>
      <c r="D61" s="200"/>
      <c r="E61" s="200"/>
      <c r="F61" s="200"/>
      <c r="G61" s="200"/>
      <c r="H61" s="200"/>
      <c r="I61" s="200"/>
    </row>
    <row r="62" spans="1:9">
      <c r="A62" s="17" t="s">
        <v>140</v>
      </c>
      <c r="B62" s="17" t="s">
        <v>242</v>
      </c>
      <c r="C62" s="17" t="s">
        <v>241</v>
      </c>
      <c r="D62" s="17" t="s">
        <v>240</v>
      </c>
      <c r="E62" s="17" t="s">
        <v>239</v>
      </c>
      <c r="F62" s="17" t="s">
        <v>238</v>
      </c>
      <c r="G62" s="17" t="s">
        <v>237</v>
      </c>
      <c r="H62" s="17" t="s">
        <v>236</v>
      </c>
      <c r="I62" s="17" t="s">
        <v>235</v>
      </c>
    </row>
    <row r="63" spans="1:9" ht="19.5">
      <c r="A63" s="36" t="s">
        <v>939</v>
      </c>
      <c r="B63" s="204">
        <v>90</v>
      </c>
      <c r="C63" s="204">
        <v>1</v>
      </c>
      <c r="D63" s="204">
        <v>6</v>
      </c>
      <c r="E63" s="204" t="s">
        <v>210</v>
      </c>
      <c r="F63" s="204" t="s">
        <v>228</v>
      </c>
      <c r="G63" s="204" t="s">
        <v>210</v>
      </c>
      <c r="H63" s="204" t="s">
        <v>210</v>
      </c>
      <c r="I63" s="205"/>
    </row>
    <row r="64" spans="1:9">
      <c r="A64" s="35" t="s">
        <v>644</v>
      </c>
      <c r="B64" s="204"/>
      <c r="C64" s="204"/>
      <c r="D64" s="204"/>
      <c r="E64" s="204"/>
      <c r="F64" s="204"/>
      <c r="G64" s="204"/>
      <c r="H64" s="204"/>
      <c r="I64" s="205"/>
    </row>
    <row r="65" spans="1:9" ht="19.5">
      <c r="A65" s="16" t="s">
        <v>940</v>
      </c>
      <c r="B65" s="8">
        <v>600</v>
      </c>
      <c r="C65" s="8">
        <v>1</v>
      </c>
      <c r="D65" s="8">
        <v>10</v>
      </c>
      <c r="E65" s="8" t="s">
        <v>210</v>
      </c>
      <c r="F65" s="8" t="s">
        <v>228</v>
      </c>
      <c r="G65" s="8" t="s">
        <v>210</v>
      </c>
      <c r="H65" s="8" t="s">
        <v>210</v>
      </c>
      <c r="I65" s="7"/>
    </row>
    <row r="66" spans="1:9" ht="19.5">
      <c r="A66" s="36" t="s">
        <v>941</v>
      </c>
      <c r="B66" s="38">
        <v>2800</v>
      </c>
      <c r="C66" s="38">
        <v>1</v>
      </c>
      <c r="D66" s="38">
        <v>15</v>
      </c>
      <c r="E66" s="38" t="s">
        <v>210</v>
      </c>
      <c r="F66" s="38" t="s">
        <v>228</v>
      </c>
      <c r="G66" s="38" t="s">
        <v>210</v>
      </c>
      <c r="H66" s="38" t="s">
        <v>210</v>
      </c>
      <c r="I66" s="37"/>
    </row>
    <row r="67" spans="1:9" ht="19.5">
      <c r="A67" s="16" t="s">
        <v>942</v>
      </c>
      <c r="B67" s="8">
        <v>8000</v>
      </c>
      <c r="C67" s="8">
        <v>1</v>
      </c>
      <c r="D67" s="8">
        <v>21</v>
      </c>
      <c r="E67" s="8" t="s">
        <v>210</v>
      </c>
      <c r="F67" s="8" t="s">
        <v>225</v>
      </c>
      <c r="G67" s="8" t="s">
        <v>210</v>
      </c>
      <c r="H67" s="8" t="s">
        <v>210</v>
      </c>
      <c r="I67" s="7"/>
    </row>
    <row r="68" spans="1:9" ht="39">
      <c r="A68" s="106" t="s">
        <v>643</v>
      </c>
      <c r="B68" s="38">
        <v>12000</v>
      </c>
      <c r="C68" s="38">
        <v>1</v>
      </c>
      <c r="D68" s="38">
        <v>22</v>
      </c>
      <c r="E68" s="38" t="s">
        <v>210</v>
      </c>
      <c r="F68" s="38" t="s">
        <v>211</v>
      </c>
      <c r="G68" s="38" t="s">
        <v>228</v>
      </c>
      <c r="H68" s="38" t="s">
        <v>642</v>
      </c>
      <c r="I68" s="37"/>
    </row>
    <row r="69" spans="1:9">
      <c r="A69" s="14" t="s">
        <v>641</v>
      </c>
      <c r="B69" s="198">
        <v>15000</v>
      </c>
      <c r="C69" s="198">
        <v>1</v>
      </c>
      <c r="D69" s="198">
        <v>24</v>
      </c>
      <c r="E69" s="198" t="s">
        <v>210</v>
      </c>
      <c r="F69" s="198" t="s">
        <v>211</v>
      </c>
      <c r="G69" s="198" t="s">
        <v>210</v>
      </c>
      <c r="H69" s="198" t="s">
        <v>640</v>
      </c>
      <c r="I69" s="199"/>
    </row>
    <row r="70" spans="1:9">
      <c r="A70" s="13" t="s">
        <v>639</v>
      </c>
      <c r="B70" s="198"/>
      <c r="C70" s="198"/>
      <c r="D70" s="198"/>
      <c r="E70" s="198"/>
      <c r="F70" s="198"/>
      <c r="G70" s="198"/>
      <c r="H70" s="198"/>
      <c r="I70" s="199"/>
    </row>
    <row r="71" spans="1:9">
      <c r="A71" s="34" t="s">
        <v>638</v>
      </c>
      <c r="B71" s="204">
        <v>18000</v>
      </c>
      <c r="C71" s="204">
        <v>1</v>
      </c>
      <c r="D71" s="204">
        <v>25</v>
      </c>
      <c r="E71" s="204" t="s">
        <v>345</v>
      </c>
      <c r="F71" s="204" t="s">
        <v>211</v>
      </c>
      <c r="G71" s="204" t="s">
        <v>228</v>
      </c>
      <c r="H71" s="204" t="s">
        <v>637</v>
      </c>
      <c r="I71" s="205"/>
    </row>
    <row r="72" spans="1:9">
      <c r="A72" s="33" t="s">
        <v>636</v>
      </c>
      <c r="B72" s="204"/>
      <c r="C72" s="204"/>
      <c r="D72" s="204"/>
      <c r="E72" s="204"/>
      <c r="F72" s="204"/>
      <c r="G72" s="204"/>
      <c r="H72" s="204"/>
      <c r="I72" s="205"/>
    </row>
    <row r="73" spans="1:9" ht="78">
      <c r="A73" s="19" t="s">
        <v>635</v>
      </c>
      <c r="B73" s="8">
        <v>22000</v>
      </c>
      <c r="C73" s="8">
        <v>1</v>
      </c>
      <c r="D73" s="8">
        <v>26</v>
      </c>
      <c r="E73" s="8" t="s">
        <v>210</v>
      </c>
      <c r="F73" s="8" t="s">
        <v>211</v>
      </c>
      <c r="G73" s="8" t="s">
        <v>210</v>
      </c>
      <c r="H73" s="8" t="s">
        <v>634</v>
      </c>
      <c r="I73" s="7"/>
    </row>
    <row r="74" spans="1:9" ht="29.25">
      <c r="A74" s="32" t="s">
        <v>943</v>
      </c>
      <c r="B74" s="204">
        <v>24000</v>
      </c>
      <c r="C74" s="204">
        <v>1</v>
      </c>
      <c r="D74" s="204">
        <v>29</v>
      </c>
      <c r="E74" s="204" t="s">
        <v>210</v>
      </c>
      <c r="F74" s="204" t="s">
        <v>211</v>
      </c>
      <c r="G74" s="204" t="s">
        <v>210</v>
      </c>
      <c r="H74" s="38" t="s">
        <v>633</v>
      </c>
      <c r="I74" s="205"/>
    </row>
    <row r="75" spans="1:9" ht="19.5">
      <c r="A75" s="31" t="s">
        <v>632</v>
      </c>
      <c r="B75" s="204"/>
      <c r="C75" s="204"/>
      <c r="D75" s="204"/>
      <c r="E75" s="204"/>
      <c r="F75" s="204"/>
      <c r="G75" s="204"/>
      <c r="H75" s="38" t="s">
        <v>631</v>
      </c>
      <c r="I75" s="205"/>
    </row>
    <row r="76" spans="1:9" ht="39">
      <c r="A76" s="9" t="s">
        <v>630</v>
      </c>
      <c r="B76" s="8">
        <v>26000</v>
      </c>
      <c r="C76" s="8">
        <v>1</v>
      </c>
      <c r="D76" s="8">
        <v>32</v>
      </c>
      <c r="E76" s="8" t="s">
        <v>210</v>
      </c>
      <c r="F76" s="8" t="s">
        <v>211</v>
      </c>
      <c r="G76" s="8" t="s">
        <v>210</v>
      </c>
      <c r="H76" s="8" t="s">
        <v>629</v>
      </c>
      <c r="I76" s="7"/>
    </row>
    <row r="77" spans="1:9">
      <c r="A77" s="203"/>
      <c r="B77" s="203"/>
      <c r="C77" s="203"/>
      <c r="D77" s="203"/>
      <c r="E77" s="203"/>
      <c r="F77" s="203"/>
      <c r="G77" s="203"/>
      <c r="H77" s="203"/>
      <c r="I77" s="203"/>
    </row>
    <row r="78" spans="1:9">
      <c r="A78" s="203"/>
      <c r="B78" s="203"/>
      <c r="C78" s="203"/>
      <c r="D78" s="203"/>
      <c r="E78" s="203"/>
      <c r="F78" s="203"/>
      <c r="G78" s="203"/>
      <c r="H78" s="203"/>
      <c r="I78" s="203"/>
    </row>
    <row r="79" spans="1:9">
      <c r="A79" s="203"/>
      <c r="B79" s="203"/>
      <c r="C79" s="203"/>
      <c r="D79" s="203"/>
      <c r="E79" s="203"/>
      <c r="F79" s="203"/>
      <c r="G79" s="203"/>
      <c r="H79" s="203"/>
      <c r="I79" s="203"/>
    </row>
    <row r="80" spans="1:9">
      <c r="A80" s="203"/>
      <c r="B80" s="203"/>
      <c r="C80" s="203"/>
      <c r="D80" s="203"/>
      <c r="E80" s="203"/>
      <c r="F80" s="203"/>
      <c r="G80" s="203"/>
      <c r="H80" s="203"/>
      <c r="I80" s="203"/>
    </row>
    <row r="81" spans="1:9">
      <c r="A81" s="200" t="s">
        <v>628</v>
      </c>
      <c r="B81" s="200"/>
      <c r="C81" s="200"/>
      <c r="D81" s="200"/>
      <c r="E81" s="200"/>
      <c r="F81" s="200"/>
      <c r="G81" s="200"/>
      <c r="H81" s="200"/>
      <c r="I81" s="200"/>
    </row>
    <row r="82" spans="1:9">
      <c r="A82" s="17" t="s">
        <v>140</v>
      </c>
      <c r="B82" s="17" t="s">
        <v>242</v>
      </c>
      <c r="C82" s="17" t="s">
        <v>241</v>
      </c>
      <c r="D82" s="17" t="s">
        <v>240</v>
      </c>
      <c r="E82" s="17" t="s">
        <v>239</v>
      </c>
      <c r="F82" s="17" t="s">
        <v>238</v>
      </c>
      <c r="G82" s="17" t="s">
        <v>237</v>
      </c>
      <c r="H82" s="17" t="s">
        <v>236</v>
      </c>
      <c r="I82" s="17" t="s">
        <v>235</v>
      </c>
    </row>
    <row r="83" spans="1:9" ht="15.75">
      <c r="A83" s="36" t="s">
        <v>627</v>
      </c>
      <c r="B83" s="38">
        <v>160</v>
      </c>
      <c r="C83" s="38">
        <v>1</v>
      </c>
      <c r="D83" s="38">
        <v>5</v>
      </c>
      <c r="E83" s="38" t="s">
        <v>210</v>
      </c>
      <c r="F83" s="38" t="s">
        <v>228</v>
      </c>
      <c r="G83" s="38" t="s">
        <v>210</v>
      </c>
      <c r="H83" s="38" t="s">
        <v>210</v>
      </c>
      <c r="I83" s="37"/>
    </row>
    <row r="84" spans="1:9" ht="15.75">
      <c r="A84" s="36" t="s">
        <v>626</v>
      </c>
      <c r="B84" s="38">
        <v>320</v>
      </c>
      <c r="C84" s="38">
        <v>1</v>
      </c>
      <c r="D84" s="38">
        <v>7</v>
      </c>
      <c r="E84" s="38" t="s">
        <v>210</v>
      </c>
      <c r="F84" s="38" t="s">
        <v>228</v>
      </c>
      <c r="G84" s="38" t="s">
        <v>210</v>
      </c>
      <c r="H84" s="38" t="s">
        <v>210</v>
      </c>
      <c r="I84" s="37"/>
    </row>
    <row r="85" spans="1:9" ht="15.75">
      <c r="A85" s="16" t="s">
        <v>625</v>
      </c>
      <c r="B85" s="8">
        <v>2500</v>
      </c>
      <c r="C85" s="8">
        <v>1</v>
      </c>
      <c r="D85" s="8">
        <v>13</v>
      </c>
      <c r="E85" s="8" t="s">
        <v>210</v>
      </c>
      <c r="F85" s="8" t="s">
        <v>228</v>
      </c>
      <c r="G85" s="8" t="s">
        <v>210</v>
      </c>
      <c r="H85" s="8" t="s">
        <v>210</v>
      </c>
      <c r="I85" s="7"/>
    </row>
    <row r="86" spans="1:9">
      <c r="A86" s="36" t="s">
        <v>624</v>
      </c>
      <c r="B86" s="204">
        <v>9000</v>
      </c>
      <c r="C86" s="204">
        <v>1</v>
      </c>
      <c r="D86" s="204">
        <v>22</v>
      </c>
      <c r="E86" s="204" t="s">
        <v>210</v>
      </c>
      <c r="F86" s="204" t="s">
        <v>225</v>
      </c>
      <c r="G86" s="204" t="s">
        <v>210</v>
      </c>
      <c r="H86" s="204" t="s">
        <v>210</v>
      </c>
      <c r="I86" s="205"/>
    </row>
    <row r="87" spans="1:9">
      <c r="A87" s="35" t="s">
        <v>623</v>
      </c>
      <c r="B87" s="204"/>
      <c r="C87" s="204"/>
      <c r="D87" s="204"/>
      <c r="E87" s="204"/>
      <c r="F87" s="204"/>
      <c r="G87" s="204"/>
      <c r="H87" s="204"/>
      <c r="I87" s="205"/>
    </row>
    <row r="88" spans="1:9" ht="19.5">
      <c r="A88" s="14" t="s">
        <v>622</v>
      </c>
      <c r="B88" s="8">
        <v>12000</v>
      </c>
      <c r="C88" s="8">
        <v>1</v>
      </c>
      <c r="D88" s="8">
        <v>25</v>
      </c>
      <c r="E88" s="8" t="s">
        <v>210</v>
      </c>
      <c r="F88" s="8" t="s">
        <v>211</v>
      </c>
      <c r="G88" s="8" t="s">
        <v>228</v>
      </c>
      <c r="H88" s="8" t="s">
        <v>621</v>
      </c>
      <c r="I88" s="7"/>
    </row>
    <row r="89" spans="1:9" ht="19.5">
      <c r="A89" s="34" t="s">
        <v>620</v>
      </c>
      <c r="B89" s="38">
        <v>14000</v>
      </c>
      <c r="C89" s="38">
        <v>1</v>
      </c>
      <c r="D89" s="38">
        <v>25</v>
      </c>
      <c r="E89" s="38" t="s">
        <v>283</v>
      </c>
      <c r="F89" s="38" t="s">
        <v>211</v>
      </c>
      <c r="G89" s="38" t="s">
        <v>211</v>
      </c>
      <c r="H89" s="38" t="s">
        <v>619</v>
      </c>
      <c r="I89" s="37"/>
    </row>
    <row r="90" spans="1:9" ht="19.5">
      <c r="A90" s="14" t="s">
        <v>618</v>
      </c>
      <c r="B90" s="8">
        <v>19000</v>
      </c>
      <c r="C90" s="8">
        <v>1</v>
      </c>
      <c r="D90" s="8">
        <v>27</v>
      </c>
      <c r="E90" s="8" t="s">
        <v>210</v>
      </c>
      <c r="F90" s="8" t="s">
        <v>211</v>
      </c>
      <c r="G90" s="8" t="s">
        <v>225</v>
      </c>
      <c r="H90" s="8" t="s">
        <v>617</v>
      </c>
      <c r="I90" s="7"/>
    </row>
    <row r="91" spans="1:9" ht="39">
      <c r="A91" s="40" t="s">
        <v>616</v>
      </c>
      <c r="B91" s="38">
        <v>15000</v>
      </c>
      <c r="C91" s="38">
        <v>1</v>
      </c>
      <c r="D91" s="38">
        <v>24</v>
      </c>
      <c r="E91" s="38" t="s">
        <v>210</v>
      </c>
      <c r="F91" s="38" t="s">
        <v>225</v>
      </c>
      <c r="G91" s="38" t="s">
        <v>228</v>
      </c>
      <c r="H91" s="38" t="s">
        <v>615</v>
      </c>
      <c r="I91" s="37"/>
    </row>
    <row r="92" spans="1:9" ht="58.5">
      <c r="A92" s="19" t="s">
        <v>614</v>
      </c>
      <c r="B92" s="8">
        <v>21000</v>
      </c>
      <c r="C92" s="8">
        <v>1</v>
      </c>
      <c r="D92" s="8">
        <v>28</v>
      </c>
      <c r="E92" s="8" t="s">
        <v>210</v>
      </c>
      <c r="F92" s="8" t="s">
        <v>228</v>
      </c>
      <c r="G92" s="8" t="s">
        <v>211</v>
      </c>
      <c r="H92" s="8" t="s">
        <v>613</v>
      </c>
      <c r="I92" s="7"/>
    </row>
    <row r="93" spans="1:9" ht="48.75">
      <c r="A93" s="39" t="s">
        <v>612</v>
      </c>
      <c r="B93" s="38">
        <v>24000</v>
      </c>
      <c r="C93" s="38">
        <v>1</v>
      </c>
      <c r="D93" s="38">
        <v>33</v>
      </c>
      <c r="E93" s="38" t="s">
        <v>210</v>
      </c>
      <c r="F93" s="38" t="s">
        <v>228</v>
      </c>
      <c r="G93" s="38" t="s">
        <v>211</v>
      </c>
      <c r="H93" s="38" t="s">
        <v>611</v>
      </c>
      <c r="I93" s="37"/>
    </row>
    <row r="94" spans="1:9" ht="39">
      <c r="A94" s="19" t="s">
        <v>610</v>
      </c>
      <c r="B94" s="8">
        <v>29000</v>
      </c>
      <c r="C94" s="8">
        <v>1</v>
      </c>
      <c r="D94" s="8">
        <v>45</v>
      </c>
      <c r="E94" s="8" t="s">
        <v>609</v>
      </c>
      <c r="F94" s="8" t="s">
        <v>228</v>
      </c>
      <c r="G94" s="8" t="s">
        <v>211</v>
      </c>
      <c r="H94" s="8" t="s">
        <v>608</v>
      </c>
      <c r="I94" s="7"/>
    </row>
    <row r="95" spans="1:9">
      <c r="A95" s="203"/>
      <c r="B95" s="203"/>
      <c r="C95" s="203"/>
      <c r="D95" s="203"/>
      <c r="E95" s="203"/>
      <c r="F95" s="203"/>
      <c r="G95" s="203"/>
      <c r="H95" s="203"/>
      <c r="I95" s="203"/>
    </row>
    <row r="96" spans="1:9">
      <c r="A96" s="203"/>
      <c r="B96" s="203"/>
      <c r="C96" s="203"/>
      <c r="D96" s="203"/>
      <c r="E96" s="203"/>
      <c r="F96" s="203"/>
      <c r="G96" s="203"/>
      <c r="H96" s="203"/>
      <c r="I96" s="203"/>
    </row>
    <row r="97" spans="1:9">
      <c r="A97" s="200" t="s">
        <v>607</v>
      </c>
      <c r="B97" s="200"/>
      <c r="C97" s="200"/>
      <c r="D97" s="200"/>
      <c r="E97" s="200"/>
      <c r="F97" s="200"/>
      <c r="G97" s="200"/>
      <c r="H97" s="200"/>
      <c r="I97" s="200"/>
    </row>
    <row r="98" spans="1:9">
      <c r="A98" s="17" t="s">
        <v>140</v>
      </c>
      <c r="B98" s="17" t="s">
        <v>242</v>
      </c>
      <c r="C98" s="17" t="s">
        <v>241</v>
      </c>
      <c r="D98" s="17" t="s">
        <v>240</v>
      </c>
      <c r="E98" s="17" t="s">
        <v>239</v>
      </c>
      <c r="F98" s="17" t="s">
        <v>238</v>
      </c>
      <c r="G98" s="17" t="s">
        <v>237</v>
      </c>
      <c r="H98" s="17" t="s">
        <v>236</v>
      </c>
      <c r="I98" s="17" t="s">
        <v>235</v>
      </c>
    </row>
    <row r="99" spans="1:9">
      <c r="A99" s="36" t="s">
        <v>603</v>
      </c>
      <c r="B99" s="204">
        <v>50</v>
      </c>
      <c r="C99" s="204">
        <v>1</v>
      </c>
      <c r="D99" s="204">
        <v>3</v>
      </c>
      <c r="E99" s="204" t="s">
        <v>210</v>
      </c>
      <c r="F99" s="204" t="s">
        <v>228</v>
      </c>
      <c r="G99" s="204" t="s">
        <v>210</v>
      </c>
      <c r="H99" s="204" t="s">
        <v>606</v>
      </c>
      <c r="I99" s="205"/>
    </row>
    <row r="100" spans="1:9">
      <c r="A100" s="35" t="s">
        <v>605</v>
      </c>
      <c r="B100" s="204"/>
      <c r="C100" s="204"/>
      <c r="D100" s="204"/>
      <c r="E100" s="204"/>
      <c r="F100" s="204"/>
      <c r="G100" s="204"/>
      <c r="H100" s="204"/>
      <c r="I100" s="205"/>
    </row>
    <row r="101" spans="1:9">
      <c r="A101" s="16" t="s">
        <v>604</v>
      </c>
      <c r="B101" s="198">
        <v>320</v>
      </c>
      <c r="C101" s="198">
        <v>1</v>
      </c>
      <c r="D101" s="198">
        <v>6</v>
      </c>
      <c r="E101" s="198" t="s">
        <v>210</v>
      </c>
      <c r="F101" s="198" t="s">
        <v>228</v>
      </c>
      <c r="G101" s="198" t="s">
        <v>210</v>
      </c>
      <c r="H101" s="198" t="s">
        <v>600</v>
      </c>
      <c r="I101" s="199"/>
    </row>
    <row r="102" spans="1:9">
      <c r="A102" s="25" t="s">
        <v>603</v>
      </c>
      <c r="B102" s="198"/>
      <c r="C102" s="198"/>
      <c r="D102" s="198"/>
      <c r="E102" s="198"/>
      <c r="F102" s="198"/>
      <c r="G102" s="198"/>
      <c r="H102" s="198"/>
      <c r="I102" s="199"/>
    </row>
    <row r="103" spans="1:9" ht="15.75">
      <c r="A103" s="36" t="s">
        <v>602</v>
      </c>
      <c r="B103" s="38">
        <v>1800</v>
      </c>
      <c r="C103" s="38">
        <v>1</v>
      </c>
      <c r="D103" s="38">
        <v>10</v>
      </c>
      <c r="E103" s="38" t="s">
        <v>210</v>
      </c>
      <c r="F103" s="38" t="s">
        <v>228</v>
      </c>
      <c r="G103" s="38" t="s">
        <v>210</v>
      </c>
      <c r="H103" s="38" t="s">
        <v>600</v>
      </c>
      <c r="I103" s="37"/>
    </row>
    <row r="104" spans="1:9" ht="15.75">
      <c r="A104" s="16" t="s">
        <v>601</v>
      </c>
      <c r="B104" s="8">
        <v>5200</v>
      </c>
      <c r="C104" s="8">
        <v>1</v>
      </c>
      <c r="D104" s="8">
        <v>15</v>
      </c>
      <c r="E104" s="8" t="s">
        <v>210</v>
      </c>
      <c r="F104" s="8" t="s">
        <v>225</v>
      </c>
      <c r="G104" s="8" t="s">
        <v>210</v>
      </c>
      <c r="H104" s="8" t="s">
        <v>600</v>
      </c>
      <c r="I104" s="7"/>
    </row>
    <row r="105" spans="1:9" ht="19.5">
      <c r="A105" s="34" t="s">
        <v>599</v>
      </c>
      <c r="B105" s="38">
        <v>8800</v>
      </c>
      <c r="C105" s="38">
        <v>1</v>
      </c>
      <c r="D105" s="38">
        <v>17</v>
      </c>
      <c r="E105" s="38" t="s">
        <v>229</v>
      </c>
      <c r="F105" s="38" t="s">
        <v>211</v>
      </c>
      <c r="G105" s="38" t="s">
        <v>225</v>
      </c>
      <c r="H105" s="38" t="s">
        <v>598</v>
      </c>
      <c r="I105" s="37"/>
    </row>
    <row r="106" spans="1:9" ht="39">
      <c r="A106" s="14" t="s">
        <v>597</v>
      </c>
      <c r="B106" s="8">
        <v>10000</v>
      </c>
      <c r="C106" s="8">
        <v>1</v>
      </c>
      <c r="D106" s="8">
        <v>18</v>
      </c>
      <c r="E106" s="8" t="s">
        <v>345</v>
      </c>
      <c r="F106" s="8" t="s">
        <v>211</v>
      </c>
      <c r="G106" s="8" t="s">
        <v>228</v>
      </c>
      <c r="H106" s="8" t="s">
        <v>596</v>
      </c>
      <c r="I106" s="7"/>
    </row>
    <row r="107" spans="1:9" ht="29.25">
      <c r="A107" s="34" t="s">
        <v>595</v>
      </c>
      <c r="B107" s="38">
        <v>12000</v>
      </c>
      <c r="C107" s="38">
        <v>1</v>
      </c>
      <c r="D107" s="38">
        <v>19</v>
      </c>
      <c r="E107" s="38" t="s">
        <v>210</v>
      </c>
      <c r="F107" s="38" t="s">
        <v>211</v>
      </c>
      <c r="G107" s="38" t="s">
        <v>228</v>
      </c>
      <c r="H107" s="38" t="s">
        <v>594</v>
      </c>
      <c r="I107" s="37"/>
    </row>
    <row r="108" spans="1:9">
      <c r="A108" s="27" t="s">
        <v>593</v>
      </c>
      <c r="B108" s="198">
        <v>13000</v>
      </c>
      <c r="C108" s="198">
        <v>1</v>
      </c>
      <c r="D108" s="198">
        <v>24</v>
      </c>
      <c r="E108" s="198" t="s">
        <v>210</v>
      </c>
      <c r="F108" s="198" t="s">
        <v>211</v>
      </c>
      <c r="G108" s="198" t="s">
        <v>210</v>
      </c>
      <c r="H108" s="198" t="s">
        <v>592</v>
      </c>
      <c r="I108" s="199"/>
    </row>
    <row r="109" spans="1:9">
      <c r="A109" s="26" t="s">
        <v>591</v>
      </c>
      <c r="B109" s="198"/>
      <c r="C109" s="198"/>
      <c r="D109" s="198"/>
      <c r="E109" s="198"/>
      <c r="F109" s="198"/>
      <c r="G109" s="198"/>
      <c r="H109" s="198"/>
      <c r="I109" s="199"/>
    </row>
    <row r="110" spans="1:9" ht="29.25">
      <c r="A110" s="214" t="s">
        <v>590</v>
      </c>
      <c r="B110" s="204">
        <v>15000</v>
      </c>
      <c r="C110" s="204">
        <v>1</v>
      </c>
      <c r="D110" s="204">
        <v>26</v>
      </c>
      <c r="E110" s="204" t="s">
        <v>210</v>
      </c>
      <c r="F110" s="204" t="s">
        <v>211</v>
      </c>
      <c r="G110" s="204" t="s">
        <v>225</v>
      </c>
      <c r="H110" s="38" t="s">
        <v>589</v>
      </c>
      <c r="I110" s="205"/>
    </row>
    <row r="111" spans="1:9" ht="29.25">
      <c r="A111" s="214"/>
      <c r="B111" s="204"/>
      <c r="C111" s="204"/>
      <c r="D111" s="204"/>
      <c r="E111" s="204"/>
      <c r="F111" s="204"/>
      <c r="G111" s="204"/>
      <c r="H111" s="38" t="s">
        <v>588</v>
      </c>
      <c r="I111" s="205"/>
    </row>
    <row r="112" spans="1:9" ht="19.5">
      <c r="A112" s="208" t="s">
        <v>587</v>
      </c>
      <c r="B112" s="198">
        <v>17000</v>
      </c>
      <c r="C112" s="198">
        <v>1</v>
      </c>
      <c r="D112" s="198">
        <v>25</v>
      </c>
      <c r="E112" s="198" t="s">
        <v>345</v>
      </c>
      <c r="F112" s="198" t="s">
        <v>211</v>
      </c>
      <c r="G112" s="198" t="s">
        <v>210</v>
      </c>
      <c r="H112" s="8" t="s">
        <v>586</v>
      </c>
      <c r="I112" s="199"/>
    </row>
    <row r="113" spans="1:9" ht="29.25">
      <c r="A113" s="208"/>
      <c r="B113" s="198"/>
      <c r="C113" s="198"/>
      <c r="D113" s="198"/>
      <c r="E113" s="198"/>
      <c r="F113" s="198"/>
      <c r="G113" s="198"/>
      <c r="H113" s="8" t="s">
        <v>585</v>
      </c>
      <c r="I113" s="199"/>
    </row>
    <row r="114" spans="1:9">
      <c r="A114" s="203"/>
      <c r="B114" s="203"/>
      <c r="C114" s="203"/>
      <c r="D114" s="203"/>
      <c r="E114" s="203"/>
      <c r="F114" s="203"/>
      <c r="G114" s="203"/>
      <c r="H114" s="203"/>
      <c r="I114" s="203"/>
    </row>
    <row r="115" spans="1:9">
      <c r="A115" s="203"/>
      <c r="B115" s="203"/>
      <c r="C115" s="203"/>
      <c r="D115" s="203"/>
      <c r="E115" s="203"/>
      <c r="F115" s="203"/>
      <c r="G115" s="203"/>
      <c r="H115" s="203"/>
      <c r="I115" s="203"/>
    </row>
    <row r="116" spans="1:9">
      <c r="A116" s="200" t="s">
        <v>584</v>
      </c>
      <c r="B116" s="200"/>
      <c r="C116" s="200"/>
      <c r="D116" s="200"/>
      <c r="E116" s="200"/>
      <c r="F116" s="200"/>
      <c r="G116" s="200"/>
      <c r="H116" s="200"/>
      <c r="I116" s="200"/>
    </row>
    <row r="117" spans="1:9">
      <c r="A117" s="17" t="s">
        <v>140</v>
      </c>
      <c r="B117" s="17" t="s">
        <v>242</v>
      </c>
      <c r="C117" s="17" t="s">
        <v>241</v>
      </c>
      <c r="D117" s="17" t="s">
        <v>240</v>
      </c>
      <c r="E117" s="17" t="s">
        <v>239</v>
      </c>
      <c r="F117" s="17" t="s">
        <v>238</v>
      </c>
      <c r="G117" s="17" t="s">
        <v>237</v>
      </c>
      <c r="H117" s="17" t="s">
        <v>236</v>
      </c>
      <c r="I117" s="17" t="s">
        <v>235</v>
      </c>
    </row>
    <row r="118" spans="1:9">
      <c r="A118" s="36" t="s">
        <v>583</v>
      </c>
      <c r="B118" s="204">
        <v>30</v>
      </c>
      <c r="C118" s="204">
        <v>1</v>
      </c>
      <c r="D118" s="204">
        <v>2</v>
      </c>
      <c r="E118" s="204" t="s">
        <v>210</v>
      </c>
      <c r="F118" s="204" t="s">
        <v>228</v>
      </c>
      <c r="G118" s="204" t="s">
        <v>210</v>
      </c>
      <c r="H118" s="204" t="s">
        <v>581</v>
      </c>
      <c r="I118" s="205"/>
    </row>
    <row r="119" spans="1:9">
      <c r="A119" s="35"/>
      <c r="B119" s="204"/>
      <c r="C119" s="204"/>
      <c r="D119" s="204"/>
      <c r="E119" s="204"/>
      <c r="F119" s="204"/>
      <c r="G119" s="204"/>
      <c r="H119" s="204"/>
      <c r="I119" s="205"/>
    </row>
    <row r="120" spans="1:9">
      <c r="A120" s="36" t="s">
        <v>582</v>
      </c>
      <c r="B120" s="204">
        <v>60</v>
      </c>
      <c r="C120" s="204">
        <v>1</v>
      </c>
      <c r="D120" s="204">
        <v>4</v>
      </c>
      <c r="E120" s="204" t="s">
        <v>210</v>
      </c>
      <c r="F120" s="204" t="s">
        <v>228</v>
      </c>
      <c r="G120" s="204" t="s">
        <v>210</v>
      </c>
      <c r="H120" s="204" t="s">
        <v>581</v>
      </c>
      <c r="I120" s="205"/>
    </row>
    <row r="121" spans="1:9">
      <c r="A121" s="35" t="s">
        <v>580</v>
      </c>
      <c r="B121" s="204"/>
      <c r="C121" s="204"/>
      <c r="D121" s="204"/>
      <c r="E121" s="204"/>
      <c r="F121" s="204"/>
      <c r="G121" s="204"/>
      <c r="H121" s="204"/>
      <c r="I121" s="205"/>
    </row>
    <row r="122" spans="1:9">
      <c r="A122" s="16" t="s">
        <v>579</v>
      </c>
      <c r="B122" s="198">
        <v>750</v>
      </c>
      <c r="C122" s="198">
        <v>1</v>
      </c>
      <c r="D122" s="198">
        <v>8</v>
      </c>
      <c r="E122" s="198" t="s">
        <v>210</v>
      </c>
      <c r="F122" s="198" t="s">
        <v>228</v>
      </c>
      <c r="G122" s="198" t="s">
        <v>210</v>
      </c>
      <c r="H122" s="198" t="s">
        <v>576</v>
      </c>
      <c r="I122" s="199"/>
    </row>
    <row r="123" spans="1:9">
      <c r="A123" s="25" t="s">
        <v>578</v>
      </c>
      <c r="B123" s="198"/>
      <c r="C123" s="198"/>
      <c r="D123" s="198"/>
      <c r="E123" s="198"/>
      <c r="F123" s="198"/>
      <c r="G123" s="198"/>
      <c r="H123" s="198"/>
      <c r="I123" s="199"/>
    </row>
    <row r="124" spans="1:9">
      <c r="A124" s="36" t="s">
        <v>577</v>
      </c>
      <c r="B124" s="204">
        <v>2800</v>
      </c>
      <c r="C124" s="204">
        <v>1</v>
      </c>
      <c r="D124" s="204">
        <v>13</v>
      </c>
      <c r="E124" s="204" t="s">
        <v>210</v>
      </c>
      <c r="F124" s="204" t="s">
        <v>225</v>
      </c>
      <c r="G124" s="204" t="s">
        <v>210</v>
      </c>
      <c r="H124" s="204" t="s">
        <v>576</v>
      </c>
      <c r="I124" s="205"/>
    </row>
    <row r="125" spans="1:9">
      <c r="A125" s="35" t="s">
        <v>575</v>
      </c>
      <c r="B125" s="204"/>
      <c r="C125" s="204"/>
      <c r="D125" s="204"/>
      <c r="E125" s="204"/>
      <c r="F125" s="204"/>
      <c r="G125" s="204"/>
      <c r="H125" s="204"/>
      <c r="I125" s="205"/>
    </row>
    <row r="126" spans="1:9">
      <c r="A126" s="14" t="s">
        <v>574</v>
      </c>
      <c r="B126" s="198">
        <v>6000</v>
      </c>
      <c r="C126" s="198">
        <v>1</v>
      </c>
      <c r="D126" s="198">
        <v>18</v>
      </c>
      <c r="E126" s="198" t="s">
        <v>210</v>
      </c>
      <c r="F126" s="198" t="s">
        <v>211</v>
      </c>
      <c r="G126" s="198" t="s">
        <v>228</v>
      </c>
      <c r="H126" s="198" t="s">
        <v>573</v>
      </c>
      <c r="I126" s="199"/>
    </row>
    <row r="127" spans="1:9">
      <c r="A127" s="13" t="s">
        <v>572</v>
      </c>
      <c r="B127" s="198"/>
      <c r="C127" s="198"/>
      <c r="D127" s="198"/>
      <c r="E127" s="198"/>
      <c r="F127" s="198"/>
      <c r="G127" s="198"/>
      <c r="H127" s="198"/>
      <c r="I127" s="199"/>
    </row>
    <row r="128" spans="1:9" ht="29.25">
      <c r="A128" s="213" t="s">
        <v>571</v>
      </c>
      <c r="B128" s="204">
        <v>7500</v>
      </c>
      <c r="C128" s="204">
        <v>1</v>
      </c>
      <c r="D128" s="204">
        <v>18</v>
      </c>
      <c r="E128" s="204" t="s">
        <v>210</v>
      </c>
      <c r="F128" s="204" t="s">
        <v>211</v>
      </c>
      <c r="G128" s="204" t="s">
        <v>228</v>
      </c>
      <c r="H128" s="38" t="s">
        <v>570</v>
      </c>
      <c r="I128" s="205"/>
    </row>
    <row r="129" spans="1:9" ht="29.25">
      <c r="A129" s="213"/>
      <c r="B129" s="204"/>
      <c r="C129" s="204"/>
      <c r="D129" s="204"/>
      <c r="E129" s="204"/>
      <c r="F129" s="204"/>
      <c r="G129" s="204"/>
      <c r="H129" s="38" t="s">
        <v>569</v>
      </c>
      <c r="I129" s="205"/>
    </row>
    <row r="130" spans="1:9" ht="29.25">
      <c r="A130" s="213"/>
      <c r="B130" s="204"/>
      <c r="C130" s="204"/>
      <c r="D130" s="204"/>
      <c r="E130" s="204"/>
      <c r="F130" s="204"/>
      <c r="G130" s="204"/>
      <c r="H130" s="38" t="s">
        <v>568</v>
      </c>
      <c r="I130" s="205"/>
    </row>
    <row r="131" spans="1:9" ht="68.25">
      <c r="A131" s="14" t="s">
        <v>567</v>
      </c>
      <c r="B131" s="8">
        <v>9000</v>
      </c>
      <c r="C131" s="8">
        <v>1</v>
      </c>
      <c r="D131" s="8">
        <v>17</v>
      </c>
      <c r="E131" s="8" t="s">
        <v>283</v>
      </c>
      <c r="F131" s="8" t="s">
        <v>211</v>
      </c>
      <c r="G131" s="8" t="s">
        <v>225</v>
      </c>
      <c r="H131" s="8" t="s">
        <v>566</v>
      </c>
      <c r="I131" s="7"/>
    </row>
    <row r="132" spans="1:9" ht="19.5">
      <c r="A132" s="212" t="s">
        <v>565</v>
      </c>
      <c r="B132" s="204">
        <v>8000</v>
      </c>
      <c r="C132" s="204">
        <v>1</v>
      </c>
      <c r="D132" s="204">
        <v>19</v>
      </c>
      <c r="E132" s="204" t="s">
        <v>210</v>
      </c>
      <c r="F132" s="204" t="s">
        <v>211</v>
      </c>
      <c r="G132" s="204" t="s">
        <v>228</v>
      </c>
      <c r="H132" s="38" t="s">
        <v>564</v>
      </c>
      <c r="I132" s="205"/>
    </row>
    <row r="133" spans="1:9" ht="29.25">
      <c r="A133" s="212"/>
      <c r="B133" s="204"/>
      <c r="C133" s="204"/>
      <c r="D133" s="204"/>
      <c r="E133" s="204"/>
      <c r="F133" s="204"/>
      <c r="G133" s="204"/>
      <c r="H133" s="38" t="s">
        <v>563</v>
      </c>
      <c r="I133" s="205"/>
    </row>
    <row r="134" spans="1:9" ht="29.25">
      <c r="A134" s="19" t="s">
        <v>562</v>
      </c>
      <c r="B134" s="198">
        <v>17000</v>
      </c>
      <c r="C134" s="198">
        <v>1</v>
      </c>
      <c r="D134" s="198">
        <v>17</v>
      </c>
      <c r="E134" s="198" t="s">
        <v>210</v>
      </c>
      <c r="F134" s="198" t="s">
        <v>211</v>
      </c>
      <c r="G134" s="198" t="s">
        <v>225</v>
      </c>
      <c r="H134" s="8" t="s">
        <v>561</v>
      </c>
      <c r="I134" s="199"/>
    </row>
    <row r="135" spans="1:9" ht="19.5">
      <c r="A135" s="18" t="s">
        <v>560</v>
      </c>
      <c r="B135" s="198"/>
      <c r="C135" s="198"/>
      <c r="D135" s="198"/>
      <c r="E135" s="198"/>
      <c r="F135" s="198"/>
      <c r="G135" s="198"/>
      <c r="H135" s="8" t="s">
        <v>559</v>
      </c>
      <c r="I135" s="199"/>
    </row>
    <row r="136" spans="1:9" ht="68.25">
      <c r="A136" s="39" t="s">
        <v>558</v>
      </c>
      <c r="B136" s="38">
        <v>18000</v>
      </c>
      <c r="C136" s="38">
        <v>1</v>
      </c>
      <c r="D136" s="38">
        <v>25</v>
      </c>
      <c r="E136" s="38" t="s">
        <v>210</v>
      </c>
      <c r="F136" s="38" t="s">
        <v>211</v>
      </c>
      <c r="G136" s="38" t="s">
        <v>211</v>
      </c>
      <c r="H136" s="38" t="s">
        <v>557</v>
      </c>
      <c r="I136" s="37"/>
    </row>
    <row r="137" spans="1:9">
      <c r="A137" s="203"/>
      <c r="B137" s="203"/>
      <c r="C137" s="203"/>
      <c r="D137" s="203"/>
      <c r="E137" s="203"/>
      <c r="F137" s="203"/>
      <c r="G137" s="203"/>
      <c r="H137" s="203"/>
      <c r="I137" s="203"/>
    </row>
    <row r="138" spans="1:9">
      <c r="A138" s="203"/>
      <c r="B138" s="203"/>
      <c r="C138" s="203"/>
      <c r="D138" s="203"/>
      <c r="E138" s="203"/>
      <c r="F138" s="203"/>
      <c r="G138" s="203"/>
      <c r="H138" s="203"/>
      <c r="I138" s="203"/>
    </row>
    <row r="139" spans="1:9">
      <c r="A139" s="200" t="s">
        <v>556</v>
      </c>
      <c r="B139" s="200"/>
      <c r="C139" s="200"/>
      <c r="D139" s="200"/>
      <c r="E139" s="200"/>
      <c r="F139" s="200"/>
      <c r="G139" s="200"/>
      <c r="H139" s="200"/>
      <c r="I139" s="200"/>
    </row>
    <row r="140" spans="1:9">
      <c r="A140" s="17" t="s">
        <v>140</v>
      </c>
      <c r="B140" s="17" t="s">
        <v>242</v>
      </c>
      <c r="C140" s="17" t="s">
        <v>241</v>
      </c>
      <c r="D140" s="17" t="s">
        <v>240</v>
      </c>
      <c r="E140" s="17" t="s">
        <v>239</v>
      </c>
      <c r="F140" s="17" t="s">
        <v>238</v>
      </c>
      <c r="G140" s="17" t="s">
        <v>237</v>
      </c>
      <c r="H140" s="17" t="s">
        <v>236</v>
      </c>
      <c r="I140" s="17" t="s">
        <v>235</v>
      </c>
    </row>
    <row r="141" spans="1:9" ht="15.75">
      <c r="A141" s="36" t="s">
        <v>555</v>
      </c>
      <c r="B141" s="38">
        <v>240</v>
      </c>
      <c r="C141" s="38">
        <v>1</v>
      </c>
      <c r="D141" s="38">
        <v>5</v>
      </c>
      <c r="E141" s="38" t="s">
        <v>210</v>
      </c>
      <c r="F141" s="38" t="s">
        <v>228</v>
      </c>
      <c r="G141" s="38" t="s">
        <v>210</v>
      </c>
      <c r="H141" s="38" t="s">
        <v>210</v>
      </c>
      <c r="I141" s="37"/>
    </row>
    <row r="142" spans="1:9" ht="15.75">
      <c r="A142" s="36" t="s">
        <v>97</v>
      </c>
      <c r="B142" s="38">
        <v>480</v>
      </c>
      <c r="C142" s="38">
        <v>1</v>
      </c>
      <c r="D142" s="38">
        <v>10</v>
      </c>
      <c r="E142" s="38" t="s">
        <v>210</v>
      </c>
      <c r="F142" s="38" t="s">
        <v>228</v>
      </c>
      <c r="G142" s="38" t="s">
        <v>210</v>
      </c>
      <c r="H142" s="38" t="s">
        <v>210</v>
      </c>
      <c r="I142" s="37"/>
    </row>
    <row r="143" spans="1:9" ht="15.75">
      <c r="A143" s="16" t="s">
        <v>554</v>
      </c>
      <c r="B143" s="8">
        <v>2800</v>
      </c>
      <c r="C143" s="8">
        <v>1</v>
      </c>
      <c r="D143" s="8">
        <v>16</v>
      </c>
      <c r="E143" s="8" t="s">
        <v>210</v>
      </c>
      <c r="F143" s="8" t="s">
        <v>228</v>
      </c>
      <c r="G143" s="8" t="s">
        <v>210</v>
      </c>
      <c r="H143" s="8" t="s">
        <v>210</v>
      </c>
      <c r="I143" s="7"/>
    </row>
    <row r="144" spans="1:9">
      <c r="A144" s="36" t="s">
        <v>553</v>
      </c>
      <c r="B144" s="204">
        <v>12000</v>
      </c>
      <c r="C144" s="204">
        <v>1</v>
      </c>
      <c r="D144" s="204">
        <v>23</v>
      </c>
      <c r="E144" s="204" t="s">
        <v>210</v>
      </c>
      <c r="F144" s="204" t="s">
        <v>225</v>
      </c>
      <c r="G144" s="204" t="s">
        <v>210</v>
      </c>
      <c r="H144" s="204" t="s">
        <v>210</v>
      </c>
      <c r="I144" s="205"/>
    </row>
    <row r="145" spans="1:9">
      <c r="A145" s="35" t="s">
        <v>552</v>
      </c>
      <c r="B145" s="204"/>
      <c r="C145" s="204"/>
      <c r="D145" s="204"/>
      <c r="E145" s="204"/>
      <c r="F145" s="204"/>
      <c r="G145" s="204"/>
      <c r="H145" s="204"/>
      <c r="I145" s="205"/>
    </row>
    <row r="146" spans="1:9">
      <c r="A146" s="14" t="s">
        <v>551</v>
      </c>
      <c r="B146" s="198">
        <v>15000</v>
      </c>
      <c r="C146" s="198">
        <v>1</v>
      </c>
      <c r="D146" s="198">
        <v>24</v>
      </c>
      <c r="E146" s="198" t="s">
        <v>210</v>
      </c>
      <c r="F146" s="198" t="s">
        <v>211</v>
      </c>
      <c r="G146" s="198" t="s">
        <v>210</v>
      </c>
      <c r="H146" s="198" t="s">
        <v>550</v>
      </c>
      <c r="I146" s="199"/>
    </row>
    <row r="147" spans="1:9">
      <c r="A147" s="13" t="s">
        <v>549</v>
      </c>
      <c r="B147" s="198"/>
      <c r="C147" s="198"/>
      <c r="D147" s="198"/>
      <c r="E147" s="198"/>
      <c r="F147" s="198"/>
      <c r="G147" s="198"/>
      <c r="H147" s="198"/>
      <c r="I147" s="199"/>
    </row>
    <row r="148" spans="1:9">
      <c r="A148" s="34" t="s">
        <v>548</v>
      </c>
      <c r="B148" s="204">
        <v>18000</v>
      </c>
      <c r="C148" s="204">
        <v>1</v>
      </c>
      <c r="D148" s="204">
        <v>25</v>
      </c>
      <c r="E148" s="204" t="s">
        <v>210</v>
      </c>
      <c r="F148" s="204" t="s">
        <v>211</v>
      </c>
      <c r="G148" s="204" t="s">
        <v>228</v>
      </c>
      <c r="H148" s="204" t="s">
        <v>547</v>
      </c>
      <c r="I148" s="205"/>
    </row>
    <row r="149" spans="1:9">
      <c r="A149" s="33" t="s">
        <v>546</v>
      </c>
      <c r="B149" s="204"/>
      <c r="C149" s="204"/>
      <c r="D149" s="204"/>
      <c r="E149" s="204"/>
      <c r="F149" s="204"/>
      <c r="G149" s="204"/>
      <c r="H149" s="204"/>
      <c r="I149" s="205"/>
    </row>
    <row r="150" spans="1:9" ht="48.75">
      <c r="A150" s="14" t="s">
        <v>545</v>
      </c>
      <c r="B150" s="8">
        <v>22000</v>
      </c>
      <c r="C150" s="8">
        <v>1</v>
      </c>
      <c r="D150" s="8">
        <v>26</v>
      </c>
      <c r="E150" s="8" t="s">
        <v>210</v>
      </c>
      <c r="F150" s="8" t="s">
        <v>211</v>
      </c>
      <c r="G150" s="8" t="s">
        <v>228</v>
      </c>
      <c r="H150" s="8" t="s">
        <v>544</v>
      </c>
      <c r="I150" s="7"/>
    </row>
    <row r="151" spans="1:9">
      <c r="A151" s="32" t="s">
        <v>543</v>
      </c>
      <c r="B151" s="204">
        <v>24000</v>
      </c>
      <c r="C151" s="204">
        <v>1</v>
      </c>
      <c r="D151" s="204">
        <v>29</v>
      </c>
      <c r="E151" s="204" t="s">
        <v>210</v>
      </c>
      <c r="F151" s="204" t="s">
        <v>211</v>
      </c>
      <c r="G151" s="204" t="s">
        <v>210</v>
      </c>
      <c r="H151" s="204" t="s">
        <v>542</v>
      </c>
      <c r="I151" s="205"/>
    </row>
    <row r="152" spans="1:9">
      <c r="A152" s="31" t="s">
        <v>541</v>
      </c>
      <c r="B152" s="204"/>
      <c r="C152" s="204"/>
      <c r="D152" s="204"/>
      <c r="E152" s="204"/>
      <c r="F152" s="204"/>
      <c r="G152" s="204"/>
      <c r="H152" s="204"/>
      <c r="I152" s="205"/>
    </row>
    <row r="153" spans="1:9" ht="29.25">
      <c r="A153" s="9" t="s">
        <v>540</v>
      </c>
      <c r="B153" s="8">
        <v>26000</v>
      </c>
      <c r="C153" s="8">
        <v>1</v>
      </c>
      <c r="D153" s="8">
        <v>32</v>
      </c>
      <c r="E153" s="8" t="s">
        <v>210</v>
      </c>
      <c r="F153" s="8" t="s">
        <v>211</v>
      </c>
      <c r="G153" s="8" t="s">
        <v>228</v>
      </c>
      <c r="H153" s="8" t="s">
        <v>539</v>
      </c>
      <c r="I153" s="7"/>
    </row>
    <row r="154" spans="1:9">
      <c r="A154" s="203"/>
      <c r="B154" s="203"/>
      <c r="C154" s="203"/>
      <c r="D154" s="203"/>
      <c r="E154" s="203"/>
      <c r="F154" s="203"/>
      <c r="G154" s="203"/>
      <c r="H154" s="203"/>
      <c r="I154" s="203"/>
    </row>
    <row r="155" spans="1:9">
      <c r="A155" s="203"/>
      <c r="B155" s="203"/>
      <c r="C155" s="203"/>
      <c r="D155" s="203"/>
      <c r="E155" s="203"/>
      <c r="F155" s="203"/>
      <c r="G155" s="203"/>
      <c r="H155" s="203"/>
      <c r="I155" s="203"/>
    </row>
    <row r="156" spans="1:9">
      <c r="A156" s="200" t="s">
        <v>538</v>
      </c>
      <c r="B156" s="200"/>
      <c r="C156" s="200"/>
      <c r="D156" s="200"/>
      <c r="E156" s="200"/>
      <c r="F156" s="200"/>
      <c r="G156" s="200"/>
      <c r="H156" s="200"/>
      <c r="I156" s="200"/>
    </row>
    <row r="157" spans="1:9">
      <c r="A157" s="17" t="s">
        <v>140</v>
      </c>
      <c r="B157" s="17" t="s">
        <v>242</v>
      </c>
      <c r="C157" s="17" t="s">
        <v>241</v>
      </c>
      <c r="D157" s="17" t="s">
        <v>240</v>
      </c>
      <c r="E157" s="17" t="s">
        <v>239</v>
      </c>
      <c r="F157" s="17" t="s">
        <v>238</v>
      </c>
      <c r="G157" s="17" t="s">
        <v>237</v>
      </c>
      <c r="H157" s="17" t="s">
        <v>236</v>
      </c>
      <c r="I157" s="17" t="s">
        <v>235</v>
      </c>
    </row>
    <row r="158" spans="1:9" ht="19.5">
      <c r="A158" s="15" t="s">
        <v>537</v>
      </c>
      <c r="B158" s="11">
        <v>150</v>
      </c>
      <c r="C158" s="11">
        <v>1</v>
      </c>
      <c r="D158" s="11">
        <v>4</v>
      </c>
      <c r="E158" s="11" t="s">
        <v>210</v>
      </c>
      <c r="F158" s="11" t="s">
        <v>228</v>
      </c>
      <c r="G158" s="11" t="s">
        <v>228</v>
      </c>
      <c r="H158" s="11" t="s">
        <v>210</v>
      </c>
      <c r="I158" s="10"/>
    </row>
    <row r="159" spans="1:9" ht="19.5">
      <c r="A159" s="15" t="s">
        <v>536</v>
      </c>
      <c r="B159" s="11">
        <v>300</v>
      </c>
      <c r="C159" s="11">
        <v>1</v>
      </c>
      <c r="D159" s="11">
        <v>6</v>
      </c>
      <c r="E159" s="11" t="s">
        <v>210</v>
      </c>
      <c r="F159" s="11" t="s">
        <v>228</v>
      </c>
      <c r="G159" s="11" t="s">
        <v>228</v>
      </c>
      <c r="H159" s="11" t="s">
        <v>210</v>
      </c>
      <c r="I159" s="10"/>
    </row>
    <row r="160" spans="1:9" ht="19.5">
      <c r="A160" s="16" t="s">
        <v>535</v>
      </c>
      <c r="B160" s="8">
        <v>1600</v>
      </c>
      <c r="C160" s="8">
        <v>1</v>
      </c>
      <c r="D160" s="8">
        <v>12</v>
      </c>
      <c r="E160" s="8" t="s">
        <v>210</v>
      </c>
      <c r="F160" s="8" t="s">
        <v>228</v>
      </c>
      <c r="G160" s="8" t="s">
        <v>228</v>
      </c>
      <c r="H160" s="8" t="s">
        <v>210</v>
      </c>
      <c r="I160" s="7"/>
    </row>
    <row r="161" spans="1:9" ht="19.5">
      <c r="A161" s="15" t="s">
        <v>534</v>
      </c>
      <c r="B161" s="201">
        <v>6000</v>
      </c>
      <c r="C161" s="201">
        <v>1</v>
      </c>
      <c r="D161" s="201">
        <v>21</v>
      </c>
      <c r="E161" s="201" t="s">
        <v>210</v>
      </c>
      <c r="F161" s="201" t="s">
        <v>225</v>
      </c>
      <c r="G161" s="201" t="s">
        <v>228</v>
      </c>
      <c r="H161" s="201" t="s">
        <v>210</v>
      </c>
      <c r="I161" s="202"/>
    </row>
    <row r="162" spans="1:9">
      <c r="A162" s="23" t="s">
        <v>533</v>
      </c>
      <c r="B162" s="201"/>
      <c r="C162" s="201"/>
      <c r="D162" s="201"/>
      <c r="E162" s="201"/>
      <c r="F162" s="201"/>
      <c r="G162" s="201"/>
      <c r="H162" s="201"/>
      <c r="I162" s="202"/>
    </row>
    <row r="163" spans="1:9" ht="29.25">
      <c r="A163" s="14" t="s">
        <v>532</v>
      </c>
      <c r="B163" s="198">
        <v>9000</v>
      </c>
      <c r="C163" s="198">
        <v>1</v>
      </c>
      <c r="D163" s="198">
        <v>22</v>
      </c>
      <c r="E163" s="198" t="s">
        <v>210</v>
      </c>
      <c r="F163" s="198" t="s">
        <v>211</v>
      </c>
      <c r="G163" s="198" t="s">
        <v>225</v>
      </c>
      <c r="H163" s="8" t="s">
        <v>531</v>
      </c>
      <c r="I163" s="199"/>
    </row>
    <row r="164" spans="1:9" ht="29.25">
      <c r="A164" s="13" t="s">
        <v>530</v>
      </c>
      <c r="B164" s="198"/>
      <c r="C164" s="198"/>
      <c r="D164" s="198"/>
      <c r="E164" s="198"/>
      <c r="F164" s="198"/>
      <c r="G164" s="198"/>
      <c r="H164" s="8" t="s">
        <v>529</v>
      </c>
      <c r="I164" s="199"/>
    </row>
    <row r="165" spans="1:9" ht="19.5">
      <c r="A165" s="22" t="s">
        <v>528</v>
      </c>
      <c r="B165" s="201">
        <v>13000</v>
      </c>
      <c r="C165" s="201">
        <v>1</v>
      </c>
      <c r="D165" s="201">
        <v>23</v>
      </c>
      <c r="E165" s="201" t="s">
        <v>210</v>
      </c>
      <c r="F165" s="201" t="s">
        <v>211</v>
      </c>
      <c r="G165" s="201" t="s">
        <v>225</v>
      </c>
      <c r="H165" s="201" t="s">
        <v>527</v>
      </c>
      <c r="I165" s="202"/>
    </row>
    <row r="166" spans="1:9">
      <c r="A166" s="21" t="s">
        <v>526</v>
      </c>
      <c r="B166" s="201"/>
      <c r="C166" s="201"/>
      <c r="D166" s="201"/>
      <c r="E166" s="201"/>
      <c r="F166" s="201"/>
      <c r="G166" s="201"/>
      <c r="H166" s="201"/>
      <c r="I166" s="202"/>
    </row>
    <row r="167" spans="1:9" ht="19.5">
      <c r="A167" s="14" t="s">
        <v>525</v>
      </c>
      <c r="B167" s="198">
        <v>16000</v>
      </c>
      <c r="C167" s="198">
        <v>1</v>
      </c>
      <c r="D167" s="198">
        <v>24</v>
      </c>
      <c r="E167" s="198" t="s">
        <v>283</v>
      </c>
      <c r="F167" s="198" t="s">
        <v>211</v>
      </c>
      <c r="G167" s="198" t="s">
        <v>225</v>
      </c>
      <c r="H167" s="198" t="s">
        <v>524</v>
      </c>
      <c r="I167" s="199"/>
    </row>
    <row r="168" spans="1:9">
      <c r="A168" s="13" t="s">
        <v>523</v>
      </c>
      <c r="B168" s="198"/>
      <c r="C168" s="198"/>
      <c r="D168" s="198"/>
      <c r="E168" s="198"/>
      <c r="F168" s="198"/>
      <c r="G168" s="198"/>
      <c r="H168" s="198"/>
      <c r="I168" s="199"/>
    </row>
    <row r="169" spans="1:9" ht="39">
      <c r="A169" s="30" t="s">
        <v>522</v>
      </c>
      <c r="B169" s="11">
        <v>23000</v>
      </c>
      <c r="C169" s="11">
        <v>1</v>
      </c>
      <c r="D169" s="11">
        <v>32</v>
      </c>
      <c r="E169" s="11" t="s">
        <v>210</v>
      </c>
      <c r="F169" s="11" t="s">
        <v>211</v>
      </c>
      <c r="G169" s="11" t="s">
        <v>225</v>
      </c>
      <c r="H169" s="11" t="s">
        <v>521</v>
      </c>
      <c r="I169" s="10"/>
    </row>
    <row r="170" spans="1:9" ht="19.5">
      <c r="A170" s="9" t="s">
        <v>520</v>
      </c>
      <c r="B170" s="8">
        <v>22000</v>
      </c>
      <c r="C170" s="8">
        <v>1</v>
      </c>
      <c r="D170" s="8">
        <v>31</v>
      </c>
      <c r="E170" s="8" t="s">
        <v>210</v>
      </c>
      <c r="F170" s="8" t="s">
        <v>211</v>
      </c>
      <c r="G170" s="8" t="s">
        <v>211</v>
      </c>
      <c r="H170" s="8" t="s">
        <v>519</v>
      </c>
      <c r="I170" s="7"/>
    </row>
    <row r="171" spans="1:9" ht="19.5">
      <c r="A171" s="12" t="s">
        <v>518</v>
      </c>
      <c r="B171" s="11">
        <v>25000</v>
      </c>
      <c r="C171" s="11">
        <v>1</v>
      </c>
      <c r="D171" s="11">
        <v>34</v>
      </c>
      <c r="E171" s="11" t="s">
        <v>210</v>
      </c>
      <c r="F171" s="11" t="s">
        <v>211</v>
      </c>
      <c r="G171" s="11" t="s">
        <v>211</v>
      </c>
      <c r="H171" s="11" t="s">
        <v>517</v>
      </c>
      <c r="I171" s="10"/>
    </row>
    <row r="172" spans="1:9" ht="29.25">
      <c r="A172" s="19" t="s">
        <v>516</v>
      </c>
      <c r="B172" s="8">
        <v>27000</v>
      </c>
      <c r="C172" s="8">
        <v>1</v>
      </c>
      <c r="D172" s="8">
        <v>37</v>
      </c>
      <c r="E172" s="8" t="s">
        <v>345</v>
      </c>
      <c r="F172" s="8" t="s">
        <v>211</v>
      </c>
      <c r="G172" s="8" t="s">
        <v>211</v>
      </c>
      <c r="H172" s="8" t="s">
        <v>515</v>
      </c>
      <c r="I172" s="7"/>
    </row>
    <row r="173" spans="1:9">
      <c r="A173" s="203"/>
      <c r="B173" s="203"/>
      <c r="C173" s="203"/>
      <c r="D173" s="203"/>
      <c r="E173" s="203"/>
      <c r="F173" s="203"/>
      <c r="G173" s="203"/>
      <c r="H173" s="203"/>
      <c r="I173" s="203"/>
    </row>
    <row r="174" spans="1:9">
      <c r="A174" s="203"/>
      <c r="B174" s="203"/>
      <c r="C174" s="203"/>
      <c r="D174" s="203"/>
      <c r="E174" s="203"/>
      <c r="F174" s="203"/>
      <c r="G174" s="203"/>
      <c r="H174" s="203"/>
      <c r="I174" s="203"/>
    </row>
    <row r="175" spans="1:9">
      <c r="A175" s="200" t="s">
        <v>514</v>
      </c>
      <c r="B175" s="200"/>
      <c r="C175" s="200"/>
      <c r="D175" s="200"/>
      <c r="E175" s="200"/>
      <c r="F175" s="200"/>
      <c r="G175" s="200"/>
      <c r="H175" s="200"/>
      <c r="I175" s="200"/>
    </row>
    <row r="176" spans="1:9">
      <c r="A176" s="17" t="s">
        <v>140</v>
      </c>
      <c r="B176" s="17" t="s">
        <v>242</v>
      </c>
      <c r="C176" s="17" t="s">
        <v>241</v>
      </c>
      <c r="D176" s="17" t="s">
        <v>240</v>
      </c>
      <c r="E176" s="17" t="s">
        <v>239</v>
      </c>
      <c r="F176" s="17" t="s">
        <v>238</v>
      </c>
      <c r="G176" s="17" t="s">
        <v>237</v>
      </c>
      <c r="H176" s="17" t="s">
        <v>236</v>
      </c>
      <c r="I176" s="17" t="s">
        <v>235</v>
      </c>
    </row>
    <row r="177" spans="1:9" ht="15.75">
      <c r="A177" s="15" t="s">
        <v>513</v>
      </c>
      <c r="B177" s="11">
        <v>25</v>
      </c>
      <c r="C177" s="11" t="s">
        <v>275</v>
      </c>
      <c r="D177" s="11">
        <v>2</v>
      </c>
      <c r="E177" s="11" t="s">
        <v>210</v>
      </c>
      <c r="F177" s="11" t="s">
        <v>228</v>
      </c>
      <c r="G177" s="11" t="s">
        <v>210</v>
      </c>
      <c r="H177" s="11" t="s">
        <v>210</v>
      </c>
      <c r="I177" s="10"/>
    </row>
    <row r="178" spans="1:9" ht="15.75">
      <c r="A178" s="15" t="s">
        <v>512</v>
      </c>
      <c r="B178" s="11">
        <v>50</v>
      </c>
      <c r="C178" s="11" t="s">
        <v>275</v>
      </c>
      <c r="D178" s="11">
        <v>4</v>
      </c>
      <c r="E178" s="11" t="s">
        <v>210</v>
      </c>
      <c r="F178" s="11" t="s">
        <v>228</v>
      </c>
      <c r="G178" s="11" t="s">
        <v>210</v>
      </c>
      <c r="H178" s="11" t="s">
        <v>210</v>
      </c>
      <c r="I178" s="10"/>
    </row>
    <row r="179" spans="1:9" ht="15.75">
      <c r="A179" s="16" t="s">
        <v>511</v>
      </c>
      <c r="B179" s="8">
        <v>250</v>
      </c>
      <c r="C179" s="8" t="s">
        <v>275</v>
      </c>
      <c r="D179" s="8">
        <v>7</v>
      </c>
      <c r="E179" s="8" t="s">
        <v>210</v>
      </c>
      <c r="F179" s="8" t="s">
        <v>228</v>
      </c>
      <c r="G179" s="8" t="s">
        <v>210</v>
      </c>
      <c r="H179" s="8" t="s">
        <v>210</v>
      </c>
      <c r="I179" s="7"/>
    </row>
    <row r="180" spans="1:9" ht="15.75">
      <c r="A180" s="15" t="s">
        <v>510</v>
      </c>
      <c r="B180" s="11">
        <v>1000</v>
      </c>
      <c r="C180" s="11" t="s">
        <v>275</v>
      </c>
      <c r="D180" s="11">
        <v>12</v>
      </c>
      <c r="E180" s="11" t="s">
        <v>210</v>
      </c>
      <c r="F180" s="11" t="s">
        <v>225</v>
      </c>
      <c r="G180" s="11" t="s">
        <v>210</v>
      </c>
      <c r="H180" s="11" t="s">
        <v>210</v>
      </c>
      <c r="I180" s="10"/>
    </row>
    <row r="181" spans="1:9">
      <c r="A181" s="14" t="s">
        <v>509</v>
      </c>
      <c r="B181" s="198">
        <v>4600</v>
      </c>
      <c r="C181" s="198" t="s">
        <v>275</v>
      </c>
      <c r="D181" s="198">
        <v>12</v>
      </c>
      <c r="E181" s="198" t="s">
        <v>229</v>
      </c>
      <c r="F181" s="198" t="s">
        <v>211</v>
      </c>
      <c r="G181" s="198" t="s">
        <v>225</v>
      </c>
      <c r="H181" s="198" t="s">
        <v>282</v>
      </c>
      <c r="I181" s="199"/>
    </row>
    <row r="182" spans="1:9">
      <c r="A182" s="13" t="s">
        <v>508</v>
      </c>
      <c r="B182" s="198"/>
      <c r="C182" s="198"/>
      <c r="D182" s="198"/>
      <c r="E182" s="198"/>
      <c r="F182" s="198"/>
      <c r="G182" s="198"/>
      <c r="H182" s="198"/>
      <c r="I182" s="199"/>
    </row>
    <row r="183" spans="1:9">
      <c r="A183" s="22" t="s">
        <v>507</v>
      </c>
      <c r="B183" s="201">
        <v>6400</v>
      </c>
      <c r="C183" s="201" t="s">
        <v>275</v>
      </c>
      <c r="D183" s="201">
        <v>14</v>
      </c>
      <c r="E183" s="201" t="s">
        <v>210</v>
      </c>
      <c r="F183" s="201" t="s">
        <v>211</v>
      </c>
      <c r="G183" s="201" t="s">
        <v>228</v>
      </c>
      <c r="H183" s="201" t="s">
        <v>506</v>
      </c>
      <c r="I183" s="202"/>
    </row>
    <row r="184" spans="1:9">
      <c r="A184" s="21" t="s">
        <v>505</v>
      </c>
      <c r="B184" s="201"/>
      <c r="C184" s="201"/>
      <c r="D184" s="201"/>
      <c r="E184" s="201"/>
      <c r="F184" s="201"/>
      <c r="G184" s="201"/>
      <c r="H184" s="201"/>
      <c r="I184" s="202"/>
    </row>
    <row r="185" spans="1:9">
      <c r="A185" s="14" t="s">
        <v>504</v>
      </c>
      <c r="B185" s="198">
        <v>7000</v>
      </c>
      <c r="C185" s="198" t="s">
        <v>275</v>
      </c>
      <c r="D185" s="198">
        <v>13</v>
      </c>
      <c r="E185" s="198" t="s">
        <v>210</v>
      </c>
      <c r="F185" s="198" t="s">
        <v>211</v>
      </c>
      <c r="G185" s="198" t="s">
        <v>228</v>
      </c>
      <c r="H185" s="198" t="s">
        <v>503</v>
      </c>
      <c r="I185" s="199"/>
    </row>
    <row r="186" spans="1:9">
      <c r="A186" s="13" t="s">
        <v>502</v>
      </c>
      <c r="B186" s="198"/>
      <c r="C186" s="198"/>
      <c r="D186" s="198"/>
      <c r="E186" s="198"/>
      <c r="F186" s="198"/>
      <c r="G186" s="198"/>
      <c r="H186" s="198"/>
      <c r="I186" s="199"/>
    </row>
    <row r="187" spans="1:9" ht="39">
      <c r="A187" s="24" t="s">
        <v>501</v>
      </c>
      <c r="B187" s="11">
        <v>9000</v>
      </c>
      <c r="C187" s="11" t="s">
        <v>275</v>
      </c>
      <c r="D187" s="11">
        <v>19</v>
      </c>
      <c r="E187" s="11" t="s">
        <v>210</v>
      </c>
      <c r="F187" s="11" t="s">
        <v>211</v>
      </c>
      <c r="G187" s="11" t="s">
        <v>211</v>
      </c>
      <c r="H187" s="11" t="s">
        <v>500</v>
      </c>
      <c r="I187" s="10"/>
    </row>
    <row r="188" spans="1:9">
      <c r="A188" s="203"/>
      <c r="B188" s="203"/>
      <c r="C188" s="203"/>
      <c r="D188" s="203"/>
      <c r="E188" s="203"/>
      <c r="F188" s="203"/>
      <c r="G188" s="203"/>
      <c r="H188" s="203"/>
      <c r="I188" s="203"/>
    </row>
    <row r="189" spans="1:9">
      <c r="A189" s="203"/>
      <c r="B189" s="203"/>
      <c r="C189" s="203"/>
      <c r="D189" s="203"/>
      <c r="E189" s="203"/>
      <c r="F189" s="203"/>
      <c r="G189" s="203"/>
      <c r="H189" s="203"/>
      <c r="I189" s="203"/>
    </row>
    <row r="190" spans="1:9">
      <c r="A190" s="200" t="s">
        <v>499</v>
      </c>
      <c r="B190" s="200"/>
      <c r="C190" s="200"/>
      <c r="D190" s="200"/>
      <c r="E190" s="200"/>
      <c r="F190" s="200"/>
      <c r="G190" s="200"/>
      <c r="H190" s="200"/>
      <c r="I190" s="200"/>
    </row>
    <row r="191" spans="1:9">
      <c r="A191" s="17" t="s">
        <v>140</v>
      </c>
      <c r="B191" s="17" t="s">
        <v>242</v>
      </c>
      <c r="C191" s="17" t="s">
        <v>241</v>
      </c>
      <c r="D191" s="17" t="s">
        <v>240</v>
      </c>
      <c r="E191" s="17" t="s">
        <v>239</v>
      </c>
      <c r="F191" s="17" t="s">
        <v>238</v>
      </c>
      <c r="G191" s="17" t="s">
        <v>237</v>
      </c>
      <c r="H191" s="17" t="s">
        <v>236</v>
      </c>
      <c r="I191" s="17" t="s">
        <v>235</v>
      </c>
    </row>
    <row r="192" spans="1:9">
      <c r="A192" s="15" t="s">
        <v>498</v>
      </c>
      <c r="B192" s="201">
        <v>75</v>
      </c>
      <c r="C192" s="201">
        <v>1</v>
      </c>
      <c r="D192" s="201">
        <v>3</v>
      </c>
      <c r="E192" s="201" t="s">
        <v>210</v>
      </c>
      <c r="F192" s="201" t="s">
        <v>228</v>
      </c>
      <c r="G192" s="201" t="s">
        <v>210</v>
      </c>
      <c r="H192" s="201" t="s">
        <v>441</v>
      </c>
      <c r="I192" s="202"/>
    </row>
    <row r="193" spans="1:9">
      <c r="A193" s="23" t="s">
        <v>104</v>
      </c>
      <c r="B193" s="201"/>
      <c r="C193" s="201"/>
      <c r="D193" s="201"/>
      <c r="E193" s="201"/>
      <c r="F193" s="201"/>
      <c r="G193" s="201"/>
      <c r="H193" s="201"/>
      <c r="I193" s="202"/>
    </row>
    <row r="194" spans="1:9">
      <c r="A194" s="15" t="s">
        <v>497</v>
      </c>
      <c r="B194" s="201">
        <v>150</v>
      </c>
      <c r="C194" s="201">
        <v>1</v>
      </c>
      <c r="D194" s="201">
        <v>5</v>
      </c>
      <c r="E194" s="201" t="s">
        <v>210</v>
      </c>
      <c r="F194" s="201" t="s">
        <v>228</v>
      </c>
      <c r="G194" s="201" t="s">
        <v>210</v>
      </c>
      <c r="H194" s="201" t="s">
        <v>438</v>
      </c>
      <c r="I194" s="202"/>
    </row>
    <row r="195" spans="1:9">
      <c r="A195" s="23" t="s">
        <v>496</v>
      </c>
      <c r="B195" s="201"/>
      <c r="C195" s="201"/>
      <c r="D195" s="201"/>
      <c r="E195" s="201"/>
      <c r="F195" s="201"/>
      <c r="G195" s="201"/>
      <c r="H195" s="201"/>
      <c r="I195" s="202"/>
    </row>
    <row r="196" spans="1:9">
      <c r="A196" s="16" t="s">
        <v>495</v>
      </c>
      <c r="B196" s="198">
        <v>1100</v>
      </c>
      <c r="C196" s="198">
        <v>1</v>
      </c>
      <c r="D196" s="198">
        <v>9</v>
      </c>
      <c r="E196" s="198" t="s">
        <v>210</v>
      </c>
      <c r="F196" s="198" t="s">
        <v>228</v>
      </c>
      <c r="G196" s="198" t="s">
        <v>210</v>
      </c>
      <c r="H196" s="198" t="s">
        <v>433</v>
      </c>
      <c r="I196" s="199"/>
    </row>
    <row r="197" spans="1:9">
      <c r="A197" s="25" t="s">
        <v>494</v>
      </c>
      <c r="B197" s="198"/>
      <c r="C197" s="198"/>
      <c r="D197" s="198"/>
      <c r="E197" s="198"/>
      <c r="F197" s="198"/>
      <c r="G197" s="198"/>
      <c r="H197" s="198"/>
      <c r="I197" s="199"/>
    </row>
    <row r="198" spans="1:9">
      <c r="A198" s="15" t="s">
        <v>493</v>
      </c>
      <c r="B198" s="201">
        <v>5200</v>
      </c>
      <c r="C198" s="201">
        <v>1</v>
      </c>
      <c r="D198" s="201">
        <v>14</v>
      </c>
      <c r="E198" s="201" t="s">
        <v>210</v>
      </c>
      <c r="F198" s="201" t="s">
        <v>225</v>
      </c>
      <c r="G198" s="201" t="s">
        <v>210</v>
      </c>
      <c r="H198" s="201" t="s">
        <v>433</v>
      </c>
      <c r="I198" s="202"/>
    </row>
    <row r="199" spans="1:9">
      <c r="A199" s="23" t="s">
        <v>492</v>
      </c>
      <c r="B199" s="201"/>
      <c r="C199" s="201"/>
      <c r="D199" s="201"/>
      <c r="E199" s="201"/>
      <c r="F199" s="201"/>
      <c r="G199" s="201"/>
      <c r="H199" s="201"/>
      <c r="I199" s="202"/>
    </row>
    <row r="200" spans="1:9">
      <c r="A200" s="14" t="s">
        <v>491</v>
      </c>
      <c r="B200" s="198">
        <v>11000</v>
      </c>
      <c r="C200" s="198">
        <v>1</v>
      </c>
      <c r="D200" s="198">
        <v>17</v>
      </c>
      <c r="E200" s="198" t="s">
        <v>345</v>
      </c>
      <c r="F200" s="198" t="s">
        <v>211</v>
      </c>
      <c r="G200" s="198" t="s">
        <v>210</v>
      </c>
      <c r="H200" s="198" t="s">
        <v>490</v>
      </c>
      <c r="I200" s="199"/>
    </row>
    <row r="201" spans="1:9">
      <c r="A201" s="13" t="s">
        <v>489</v>
      </c>
      <c r="B201" s="198"/>
      <c r="C201" s="198"/>
      <c r="D201" s="198"/>
      <c r="E201" s="198"/>
      <c r="F201" s="198"/>
      <c r="G201" s="198"/>
      <c r="H201" s="198"/>
      <c r="I201" s="199"/>
    </row>
    <row r="202" spans="1:9" ht="19.5">
      <c r="A202" s="22" t="s">
        <v>488</v>
      </c>
      <c r="B202" s="201">
        <v>12000</v>
      </c>
      <c r="C202" s="201">
        <v>1</v>
      </c>
      <c r="D202" s="201">
        <v>18</v>
      </c>
      <c r="E202" s="201" t="s">
        <v>210</v>
      </c>
      <c r="F202" s="201" t="s">
        <v>211</v>
      </c>
      <c r="G202" s="201" t="s">
        <v>225</v>
      </c>
      <c r="H202" s="11" t="s">
        <v>487</v>
      </c>
      <c r="I202" s="202"/>
    </row>
    <row r="203" spans="1:9" ht="29.25">
      <c r="A203" s="21" t="s">
        <v>486</v>
      </c>
      <c r="B203" s="201"/>
      <c r="C203" s="201"/>
      <c r="D203" s="201"/>
      <c r="E203" s="201"/>
      <c r="F203" s="201"/>
      <c r="G203" s="201"/>
      <c r="H203" s="11" t="s">
        <v>485</v>
      </c>
      <c r="I203" s="202"/>
    </row>
    <row r="204" spans="1:9" ht="29.25">
      <c r="A204" s="14" t="s">
        <v>484</v>
      </c>
      <c r="B204" s="198">
        <v>13000</v>
      </c>
      <c r="C204" s="198">
        <v>1</v>
      </c>
      <c r="D204" s="198">
        <v>17</v>
      </c>
      <c r="E204" s="198" t="s">
        <v>210</v>
      </c>
      <c r="F204" s="198" t="s">
        <v>211</v>
      </c>
      <c r="G204" s="198" t="s">
        <v>210</v>
      </c>
      <c r="H204" s="8" t="s">
        <v>483</v>
      </c>
      <c r="I204" s="199"/>
    </row>
    <row r="205" spans="1:9" ht="29.25">
      <c r="A205" s="13" t="s">
        <v>482</v>
      </c>
      <c r="B205" s="198"/>
      <c r="C205" s="198"/>
      <c r="D205" s="198"/>
      <c r="E205" s="198"/>
      <c r="F205" s="198"/>
      <c r="G205" s="198"/>
      <c r="H205" s="8" t="s">
        <v>481</v>
      </c>
      <c r="I205" s="199"/>
    </row>
    <row r="206" spans="1:9" ht="68.25">
      <c r="A206" s="24" t="s">
        <v>480</v>
      </c>
      <c r="B206" s="11">
        <v>15000</v>
      </c>
      <c r="C206" s="11">
        <v>1</v>
      </c>
      <c r="D206" s="11">
        <v>26</v>
      </c>
      <c r="E206" s="11" t="s">
        <v>229</v>
      </c>
      <c r="F206" s="11" t="s">
        <v>211</v>
      </c>
      <c r="G206" s="11" t="s">
        <v>211</v>
      </c>
      <c r="H206" s="11" t="s">
        <v>479</v>
      </c>
      <c r="I206" s="10"/>
    </row>
    <row r="207" spans="1:9">
      <c r="A207" s="203"/>
      <c r="B207" s="203"/>
      <c r="C207" s="203"/>
      <c r="D207" s="203"/>
      <c r="E207" s="203"/>
      <c r="F207" s="203"/>
      <c r="G207" s="203"/>
      <c r="H207" s="203"/>
      <c r="I207" s="203"/>
    </row>
    <row r="208" spans="1:9">
      <c r="A208" s="203"/>
      <c r="B208" s="203"/>
      <c r="C208" s="203"/>
      <c r="D208" s="203"/>
      <c r="E208" s="203"/>
      <c r="F208" s="203"/>
      <c r="G208" s="203"/>
      <c r="H208" s="203"/>
      <c r="I208" s="203"/>
    </row>
    <row r="209" spans="1:9">
      <c r="A209" s="200" t="s">
        <v>478</v>
      </c>
      <c r="B209" s="200"/>
      <c r="C209" s="200"/>
      <c r="D209" s="200"/>
      <c r="E209" s="200"/>
      <c r="F209" s="200"/>
      <c r="G209" s="200"/>
      <c r="H209" s="200"/>
      <c r="I209" s="200"/>
    </row>
    <row r="210" spans="1:9">
      <c r="A210" s="17" t="s">
        <v>140</v>
      </c>
      <c r="B210" s="17" t="s">
        <v>242</v>
      </c>
      <c r="C210" s="17" t="s">
        <v>241</v>
      </c>
      <c r="D210" s="17" t="s">
        <v>240</v>
      </c>
      <c r="E210" s="17" t="s">
        <v>239</v>
      </c>
      <c r="F210" s="17" t="s">
        <v>238</v>
      </c>
      <c r="G210" s="17" t="s">
        <v>237</v>
      </c>
      <c r="H210" s="17" t="s">
        <v>236</v>
      </c>
      <c r="I210" s="17" t="s">
        <v>235</v>
      </c>
    </row>
    <row r="211" spans="1:9" ht="15.75">
      <c r="A211" s="15" t="s">
        <v>477</v>
      </c>
      <c r="B211" s="11">
        <v>200</v>
      </c>
      <c r="C211" s="11">
        <v>1</v>
      </c>
      <c r="D211" s="11">
        <v>7</v>
      </c>
      <c r="E211" s="11" t="s">
        <v>210</v>
      </c>
      <c r="F211" s="11" t="s">
        <v>228</v>
      </c>
      <c r="G211" s="11" t="s">
        <v>210</v>
      </c>
      <c r="H211" s="11" t="s">
        <v>210</v>
      </c>
      <c r="I211" s="10"/>
    </row>
    <row r="212" spans="1:9">
      <c r="A212" s="16" t="s">
        <v>473</v>
      </c>
      <c r="B212" s="198">
        <v>900</v>
      </c>
      <c r="C212" s="198">
        <v>1</v>
      </c>
      <c r="D212" s="198">
        <v>11</v>
      </c>
      <c r="E212" s="198" t="s">
        <v>210</v>
      </c>
      <c r="F212" s="198" t="s">
        <v>228</v>
      </c>
      <c r="G212" s="198" t="s">
        <v>210</v>
      </c>
      <c r="H212" s="198" t="s">
        <v>210</v>
      </c>
      <c r="I212" s="199"/>
    </row>
    <row r="213" spans="1:9">
      <c r="A213" s="25" t="s">
        <v>476</v>
      </c>
      <c r="B213" s="198"/>
      <c r="C213" s="198"/>
      <c r="D213" s="198"/>
      <c r="E213" s="198"/>
      <c r="F213" s="198"/>
      <c r="G213" s="198"/>
      <c r="H213" s="198"/>
      <c r="I213" s="199"/>
    </row>
    <row r="214" spans="1:9" ht="15.75">
      <c r="A214" s="15" t="s">
        <v>475</v>
      </c>
      <c r="B214" s="11">
        <v>4200</v>
      </c>
      <c r="C214" s="11">
        <v>1</v>
      </c>
      <c r="D214" s="11">
        <v>16</v>
      </c>
      <c r="E214" s="11" t="s">
        <v>210</v>
      </c>
      <c r="F214" s="11" t="s">
        <v>228</v>
      </c>
      <c r="G214" s="11" t="s">
        <v>210</v>
      </c>
      <c r="H214" s="11" t="s">
        <v>210</v>
      </c>
      <c r="I214" s="10"/>
    </row>
    <row r="215" spans="1:9">
      <c r="A215" s="16" t="s">
        <v>474</v>
      </c>
      <c r="B215" s="198">
        <v>12000</v>
      </c>
      <c r="C215" s="198">
        <v>1</v>
      </c>
      <c r="D215" s="198">
        <v>22</v>
      </c>
      <c r="E215" s="198" t="s">
        <v>210</v>
      </c>
      <c r="F215" s="198" t="s">
        <v>225</v>
      </c>
      <c r="G215" s="198" t="s">
        <v>210</v>
      </c>
      <c r="H215" s="198" t="s">
        <v>210</v>
      </c>
      <c r="I215" s="199"/>
    </row>
    <row r="216" spans="1:9">
      <c r="A216" s="25" t="s">
        <v>473</v>
      </c>
      <c r="B216" s="198"/>
      <c r="C216" s="198"/>
      <c r="D216" s="198"/>
      <c r="E216" s="198"/>
      <c r="F216" s="198"/>
      <c r="G216" s="198"/>
      <c r="H216" s="198"/>
      <c r="I216" s="199"/>
    </row>
    <row r="217" spans="1:9">
      <c r="A217" s="22" t="s">
        <v>472</v>
      </c>
      <c r="B217" s="201">
        <v>16000</v>
      </c>
      <c r="C217" s="201">
        <v>1</v>
      </c>
      <c r="D217" s="201">
        <v>24</v>
      </c>
      <c r="E217" s="201" t="s">
        <v>210</v>
      </c>
      <c r="F217" s="201" t="s">
        <v>211</v>
      </c>
      <c r="G217" s="201" t="s">
        <v>210</v>
      </c>
      <c r="H217" s="201" t="s">
        <v>471</v>
      </c>
      <c r="I217" s="202"/>
    </row>
    <row r="218" spans="1:9">
      <c r="A218" s="21" t="s">
        <v>470</v>
      </c>
      <c r="B218" s="201"/>
      <c r="C218" s="201"/>
      <c r="D218" s="201"/>
      <c r="E218" s="201"/>
      <c r="F218" s="201"/>
      <c r="G218" s="201"/>
      <c r="H218" s="201"/>
      <c r="I218" s="202"/>
    </row>
    <row r="219" spans="1:9" ht="19.5">
      <c r="A219" s="14" t="s">
        <v>469</v>
      </c>
      <c r="B219" s="8">
        <v>19000</v>
      </c>
      <c r="C219" s="8">
        <v>1</v>
      </c>
      <c r="D219" s="8">
        <v>26</v>
      </c>
      <c r="E219" s="8" t="s">
        <v>229</v>
      </c>
      <c r="F219" s="8" t="s">
        <v>211</v>
      </c>
      <c r="G219" s="8" t="s">
        <v>228</v>
      </c>
      <c r="H219" s="8" t="s">
        <v>454</v>
      </c>
      <c r="I219" s="7"/>
    </row>
    <row r="220" spans="1:9" ht="19.5">
      <c r="A220" s="22" t="s">
        <v>468</v>
      </c>
      <c r="B220" s="11">
        <v>24000</v>
      </c>
      <c r="C220" s="11">
        <v>1</v>
      </c>
      <c r="D220" s="11">
        <v>27</v>
      </c>
      <c r="E220" s="11" t="s">
        <v>345</v>
      </c>
      <c r="F220" s="11" t="s">
        <v>211</v>
      </c>
      <c r="G220" s="11" t="s">
        <v>210</v>
      </c>
      <c r="H220" s="11" t="s">
        <v>467</v>
      </c>
      <c r="I220" s="10"/>
    </row>
    <row r="221" spans="1:9">
      <c r="A221" s="19" t="s">
        <v>466</v>
      </c>
      <c r="B221" s="198">
        <v>26000</v>
      </c>
      <c r="C221" s="198">
        <v>1</v>
      </c>
      <c r="D221" s="198">
        <v>27</v>
      </c>
      <c r="E221" s="198" t="s">
        <v>210</v>
      </c>
      <c r="F221" s="198" t="s">
        <v>211</v>
      </c>
      <c r="G221" s="198" t="s">
        <v>225</v>
      </c>
      <c r="H221" s="198" t="s">
        <v>465</v>
      </c>
      <c r="I221" s="199"/>
    </row>
    <row r="222" spans="1:9">
      <c r="A222" s="18" t="s">
        <v>464</v>
      </c>
      <c r="B222" s="198"/>
      <c r="C222" s="198"/>
      <c r="D222" s="198"/>
      <c r="E222" s="198"/>
      <c r="F222" s="198"/>
      <c r="G222" s="198"/>
      <c r="H222" s="198"/>
      <c r="I222" s="199"/>
    </row>
    <row r="223" spans="1:9" ht="19.5">
      <c r="A223" s="24" t="s">
        <v>463</v>
      </c>
      <c r="B223" s="11">
        <v>27000</v>
      </c>
      <c r="C223" s="11">
        <v>1</v>
      </c>
      <c r="D223" s="11">
        <v>33</v>
      </c>
      <c r="E223" s="11" t="s">
        <v>210</v>
      </c>
      <c r="F223" s="11" t="s">
        <v>211</v>
      </c>
      <c r="G223" s="11" t="s">
        <v>225</v>
      </c>
      <c r="H223" s="11" t="s">
        <v>462</v>
      </c>
      <c r="I223" s="10"/>
    </row>
    <row r="224" spans="1:9">
      <c r="A224" s="203"/>
      <c r="B224" s="203"/>
      <c r="C224" s="203"/>
      <c r="D224" s="203"/>
      <c r="E224" s="203"/>
      <c r="F224" s="203"/>
      <c r="G224" s="203"/>
      <c r="H224" s="203"/>
      <c r="I224" s="203"/>
    </row>
    <row r="225" spans="1:9">
      <c r="A225" s="203"/>
      <c r="B225" s="203"/>
      <c r="C225" s="203"/>
      <c r="D225" s="203"/>
      <c r="E225" s="203"/>
      <c r="F225" s="203"/>
      <c r="G225" s="203"/>
      <c r="H225" s="203"/>
      <c r="I225" s="203"/>
    </row>
    <row r="226" spans="1:9">
      <c r="A226" s="200" t="s">
        <v>461</v>
      </c>
      <c r="B226" s="200"/>
      <c r="C226" s="200"/>
      <c r="D226" s="200"/>
      <c r="E226" s="200"/>
      <c r="F226" s="200"/>
      <c r="G226" s="200"/>
      <c r="H226" s="200"/>
      <c r="I226" s="200"/>
    </row>
    <row r="227" spans="1:9">
      <c r="A227" s="17" t="s">
        <v>140</v>
      </c>
      <c r="B227" s="17" t="s">
        <v>242</v>
      </c>
      <c r="C227" s="17" t="s">
        <v>241</v>
      </c>
      <c r="D227" s="17" t="s">
        <v>240</v>
      </c>
      <c r="E227" s="17" t="s">
        <v>239</v>
      </c>
      <c r="F227" s="17" t="s">
        <v>238</v>
      </c>
      <c r="G227" s="17" t="s">
        <v>237</v>
      </c>
      <c r="H227" s="17" t="s">
        <v>236</v>
      </c>
      <c r="I227" s="17" t="s">
        <v>235</v>
      </c>
    </row>
    <row r="228" spans="1:9">
      <c r="A228" s="15" t="s">
        <v>460</v>
      </c>
      <c r="B228" s="201">
        <v>140</v>
      </c>
      <c r="C228" s="201">
        <v>1</v>
      </c>
      <c r="D228" s="201">
        <v>6</v>
      </c>
      <c r="E228" s="201" t="s">
        <v>210</v>
      </c>
      <c r="F228" s="201" t="s">
        <v>228</v>
      </c>
      <c r="G228" s="201" t="s">
        <v>210</v>
      </c>
      <c r="H228" s="201" t="s">
        <v>210</v>
      </c>
      <c r="I228" s="202"/>
    </row>
    <row r="229" spans="1:9">
      <c r="A229" s="23" t="s">
        <v>112</v>
      </c>
      <c r="B229" s="201"/>
      <c r="C229" s="201"/>
      <c r="D229" s="201"/>
      <c r="E229" s="201"/>
      <c r="F229" s="201"/>
      <c r="G229" s="201"/>
      <c r="H229" s="201"/>
      <c r="I229" s="202"/>
    </row>
    <row r="230" spans="1:9">
      <c r="A230" s="15" t="s">
        <v>459</v>
      </c>
      <c r="B230" s="201">
        <v>280</v>
      </c>
      <c r="C230" s="201">
        <v>1</v>
      </c>
      <c r="D230" s="201">
        <v>9</v>
      </c>
      <c r="E230" s="201" t="s">
        <v>210</v>
      </c>
      <c r="F230" s="201" t="s">
        <v>228</v>
      </c>
      <c r="G230" s="201" t="s">
        <v>210</v>
      </c>
      <c r="H230" s="201" t="s">
        <v>210</v>
      </c>
      <c r="I230" s="202"/>
    </row>
    <row r="231" spans="1:9">
      <c r="A231" s="23" t="s">
        <v>112</v>
      </c>
      <c r="B231" s="201"/>
      <c r="C231" s="201"/>
      <c r="D231" s="201"/>
      <c r="E231" s="201"/>
      <c r="F231" s="201"/>
      <c r="G231" s="201"/>
      <c r="H231" s="201"/>
      <c r="I231" s="202"/>
    </row>
    <row r="232" spans="1:9">
      <c r="A232" s="16" t="s">
        <v>458</v>
      </c>
      <c r="B232" s="198">
        <v>2000</v>
      </c>
      <c r="C232" s="198">
        <v>1</v>
      </c>
      <c r="D232" s="198">
        <v>15</v>
      </c>
      <c r="E232" s="198" t="s">
        <v>210</v>
      </c>
      <c r="F232" s="198" t="s">
        <v>228</v>
      </c>
      <c r="G232" s="198" t="s">
        <v>210</v>
      </c>
      <c r="H232" s="198" t="s">
        <v>210</v>
      </c>
      <c r="I232" s="199"/>
    </row>
    <row r="233" spans="1:9">
      <c r="A233" s="25" t="s">
        <v>457</v>
      </c>
      <c r="B233" s="198"/>
      <c r="C233" s="198"/>
      <c r="D233" s="198"/>
      <c r="E233" s="198"/>
      <c r="F233" s="198"/>
      <c r="G233" s="198"/>
      <c r="H233" s="198"/>
      <c r="I233" s="199"/>
    </row>
    <row r="234" spans="1:9" ht="15.75">
      <c r="A234" s="15" t="s">
        <v>456</v>
      </c>
      <c r="B234" s="11">
        <v>8400</v>
      </c>
      <c r="C234" s="11">
        <v>1</v>
      </c>
      <c r="D234" s="11">
        <v>22</v>
      </c>
      <c r="E234" s="11" t="s">
        <v>210</v>
      </c>
      <c r="F234" s="11" t="s">
        <v>225</v>
      </c>
      <c r="G234" s="11" t="s">
        <v>210</v>
      </c>
      <c r="H234" s="11" t="s">
        <v>210</v>
      </c>
      <c r="I234" s="10"/>
    </row>
    <row r="235" spans="1:9">
      <c r="A235" s="14" t="s">
        <v>455</v>
      </c>
      <c r="B235" s="198">
        <v>13000</v>
      </c>
      <c r="C235" s="198">
        <v>1</v>
      </c>
      <c r="D235" s="198">
        <v>23</v>
      </c>
      <c r="E235" s="198" t="s">
        <v>229</v>
      </c>
      <c r="F235" s="198" t="s">
        <v>211</v>
      </c>
      <c r="G235" s="198" t="s">
        <v>228</v>
      </c>
      <c r="H235" s="198" t="s">
        <v>454</v>
      </c>
      <c r="I235" s="199"/>
    </row>
    <row r="236" spans="1:9">
      <c r="A236" s="13" t="s">
        <v>453</v>
      </c>
      <c r="B236" s="198"/>
      <c r="C236" s="198"/>
      <c r="D236" s="198"/>
      <c r="E236" s="198"/>
      <c r="F236" s="198"/>
      <c r="G236" s="198"/>
      <c r="H236" s="198"/>
      <c r="I236" s="199"/>
    </row>
    <row r="237" spans="1:9" ht="15.75">
      <c r="A237" s="22" t="s">
        <v>452</v>
      </c>
      <c r="B237" s="11">
        <v>15000</v>
      </c>
      <c r="C237" s="11">
        <v>1</v>
      </c>
      <c r="D237" s="11">
        <v>23</v>
      </c>
      <c r="E237" s="11" t="s">
        <v>210</v>
      </c>
      <c r="F237" s="11" t="s">
        <v>211</v>
      </c>
      <c r="G237" s="11" t="s">
        <v>210</v>
      </c>
      <c r="H237" s="11" t="s">
        <v>306</v>
      </c>
      <c r="I237" s="10"/>
    </row>
    <row r="238" spans="1:9">
      <c r="A238" s="14" t="s">
        <v>451</v>
      </c>
      <c r="B238" s="198">
        <v>21000</v>
      </c>
      <c r="C238" s="198">
        <v>1</v>
      </c>
      <c r="D238" s="198">
        <v>25</v>
      </c>
      <c r="E238" s="198" t="s">
        <v>210</v>
      </c>
      <c r="F238" s="198" t="s">
        <v>211</v>
      </c>
      <c r="G238" s="198" t="s">
        <v>228</v>
      </c>
      <c r="H238" s="198" t="s">
        <v>450</v>
      </c>
      <c r="I238" s="199"/>
    </row>
    <row r="239" spans="1:9">
      <c r="A239" s="13" t="s">
        <v>449</v>
      </c>
      <c r="B239" s="198"/>
      <c r="C239" s="198"/>
      <c r="D239" s="198"/>
      <c r="E239" s="198"/>
      <c r="F239" s="198"/>
      <c r="G239" s="198"/>
      <c r="H239" s="198"/>
      <c r="I239" s="199"/>
    </row>
    <row r="240" spans="1:9">
      <c r="A240" s="12" t="s">
        <v>448</v>
      </c>
      <c r="B240" s="201">
        <v>24000</v>
      </c>
      <c r="C240" s="201">
        <v>1</v>
      </c>
      <c r="D240" s="201">
        <v>26</v>
      </c>
      <c r="E240" s="201" t="s">
        <v>345</v>
      </c>
      <c r="F240" s="201" t="s">
        <v>211</v>
      </c>
      <c r="G240" s="201" t="s">
        <v>210</v>
      </c>
      <c r="H240" s="201" t="s">
        <v>447</v>
      </c>
      <c r="I240" s="202"/>
    </row>
    <row r="241" spans="1:9">
      <c r="A241" s="20" t="s">
        <v>446</v>
      </c>
      <c r="B241" s="201"/>
      <c r="C241" s="201"/>
      <c r="D241" s="201"/>
      <c r="E241" s="201"/>
      <c r="F241" s="201"/>
      <c r="G241" s="201"/>
      <c r="H241" s="201"/>
      <c r="I241" s="202"/>
    </row>
    <row r="242" spans="1:9" ht="19.5">
      <c r="A242" s="9" t="s">
        <v>445</v>
      </c>
      <c r="B242" s="8">
        <v>26000</v>
      </c>
      <c r="C242" s="8">
        <v>1</v>
      </c>
      <c r="D242" s="8">
        <v>32</v>
      </c>
      <c r="E242" s="8" t="s">
        <v>210</v>
      </c>
      <c r="F242" s="8" t="s">
        <v>211</v>
      </c>
      <c r="G242" s="8" t="s">
        <v>210</v>
      </c>
      <c r="H242" s="8" t="s">
        <v>444</v>
      </c>
      <c r="I242" s="7"/>
    </row>
    <row r="243" spans="1:9">
      <c r="A243" s="203"/>
      <c r="B243" s="203"/>
      <c r="C243" s="203"/>
      <c r="D243" s="203"/>
      <c r="E243" s="203"/>
      <c r="F243" s="203"/>
      <c r="G243" s="203"/>
      <c r="H243" s="203"/>
      <c r="I243" s="203"/>
    </row>
    <row r="244" spans="1:9">
      <c r="A244" s="203"/>
      <c r="B244" s="203"/>
      <c r="C244" s="203"/>
      <c r="D244" s="203"/>
      <c r="E244" s="203"/>
      <c r="F244" s="203"/>
      <c r="G244" s="203"/>
      <c r="H244" s="203"/>
      <c r="I244" s="203"/>
    </row>
    <row r="245" spans="1:9">
      <c r="A245" s="200" t="s">
        <v>443</v>
      </c>
      <c r="B245" s="200"/>
      <c r="C245" s="200"/>
      <c r="D245" s="200"/>
      <c r="E245" s="200"/>
      <c r="F245" s="200"/>
      <c r="G245" s="200"/>
      <c r="H245" s="200"/>
      <c r="I245" s="200"/>
    </row>
    <row r="246" spans="1:9">
      <c r="A246" s="17" t="s">
        <v>140</v>
      </c>
      <c r="B246" s="17" t="s">
        <v>242</v>
      </c>
      <c r="C246" s="17" t="s">
        <v>241</v>
      </c>
      <c r="D246" s="17" t="s">
        <v>240</v>
      </c>
      <c r="E246" s="17" t="s">
        <v>239</v>
      </c>
      <c r="F246" s="17" t="s">
        <v>238</v>
      </c>
      <c r="G246" s="17" t="s">
        <v>237</v>
      </c>
      <c r="H246" s="17" t="s">
        <v>236</v>
      </c>
      <c r="I246" s="17" t="s">
        <v>235</v>
      </c>
    </row>
    <row r="247" spans="1:9">
      <c r="A247" s="15" t="s">
        <v>442</v>
      </c>
      <c r="B247" s="201">
        <v>160</v>
      </c>
      <c r="C247" s="201">
        <v>2</v>
      </c>
      <c r="D247" s="201">
        <v>5</v>
      </c>
      <c r="E247" s="201" t="s">
        <v>210</v>
      </c>
      <c r="F247" s="201" t="s">
        <v>228</v>
      </c>
      <c r="G247" s="201" t="s">
        <v>210</v>
      </c>
      <c r="H247" s="201" t="s">
        <v>441</v>
      </c>
      <c r="I247" s="202"/>
    </row>
    <row r="248" spans="1:9">
      <c r="A248" s="23" t="s">
        <v>440</v>
      </c>
      <c r="B248" s="201"/>
      <c r="C248" s="201"/>
      <c r="D248" s="201"/>
      <c r="E248" s="201"/>
      <c r="F248" s="201"/>
      <c r="G248" s="201"/>
      <c r="H248" s="201"/>
      <c r="I248" s="202"/>
    </row>
    <row r="249" spans="1:9">
      <c r="A249" s="15" t="s">
        <v>439</v>
      </c>
      <c r="B249" s="201">
        <v>320</v>
      </c>
      <c r="C249" s="201">
        <v>2</v>
      </c>
      <c r="D249" s="201">
        <v>9</v>
      </c>
      <c r="E249" s="201" t="s">
        <v>210</v>
      </c>
      <c r="F249" s="201" t="s">
        <v>228</v>
      </c>
      <c r="G249" s="201" t="s">
        <v>210</v>
      </c>
      <c r="H249" s="201" t="s">
        <v>438</v>
      </c>
      <c r="I249" s="202"/>
    </row>
    <row r="250" spans="1:9">
      <c r="A250" s="23" t="s">
        <v>437</v>
      </c>
      <c r="B250" s="201"/>
      <c r="C250" s="201"/>
      <c r="D250" s="201"/>
      <c r="E250" s="201"/>
      <c r="F250" s="201"/>
      <c r="G250" s="201"/>
      <c r="H250" s="201"/>
      <c r="I250" s="202"/>
    </row>
    <row r="251" spans="1:9">
      <c r="A251" s="16" t="s">
        <v>436</v>
      </c>
      <c r="B251" s="198">
        <v>2500</v>
      </c>
      <c r="C251" s="198">
        <v>2</v>
      </c>
      <c r="D251" s="198">
        <v>14</v>
      </c>
      <c r="E251" s="198" t="s">
        <v>210</v>
      </c>
      <c r="F251" s="198" t="s">
        <v>228</v>
      </c>
      <c r="G251" s="198" t="s">
        <v>210</v>
      </c>
      <c r="H251" s="198" t="s">
        <v>433</v>
      </c>
      <c r="I251" s="199"/>
    </row>
    <row r="252" spans="1:9">
      <c r="A252" s="25" t="s">
        <v>435</v>
      </c>
      <c r="B252" s="198"/>
      <c r="C252" s="198"/>
      <c r="D252" s="198"/>
      <c r="E252" s="198"/>
      <c r="F252" s="198"/>
      <c r="G252" s="198"/>
      <c r="H252" s="198"/>
      <c r="I252" s="199"/>
    </row>
    <row r="253" spans="1:9">
      <c r="A253" s="15" t="s">
        <v>434</v>
      </c>
      <c r="B253" s="201">
        <v>8000</v>
      </c>
      <c r="C253" s="201" t="s">
        <v>327</v>
      </c>
      <c r="D253" s="201">
        <v>20</v>
      </c>
      <c r="E253" s="201" t="s">
        <v>210</v>
      </c>
      <c r="F253" s="201" t="s">
        <v>225</v>
      </c>
      <c r="G253" s="201" t="s">
        <v>210</v>
      </c>
      <c r="H253" s="201" t="s">
        <v>433</v>
      </c>
      <c r="I253" s="202"/>
    </row>
    <row r="254" spans="1:9">
      <c r="A254" s="23" t="s">
        <v>432</v>
      </c>
      <c r="B254" s="201"/>
      <c r="C254" s="201"/>
      <c r="D254" s="201"/>
      <c r="E254" s="201"/>
      <c r="F254" s="201"/>
      <c r="G254" s="201"/>
      <c r="H254" s="201"/>
      <c r="I254" s="202"/>
    </row>
    <row r="255" spans="1:9">
      <c r="A255" s="14" t="s">
        <v>431</v>
      </c>
      <c r="B255" s="198">
        <v>13000</v>
      </c>
      <c r="C255" s="198" t="s">
        <v>327</v>
      </c>
      <c r="D255" s="198">
        <v>23</v>
      </c>
      <c r="E255" s="198" t="s">
        <v>229</v>
      </c>
      <c r="F255" s="198" t="s">
        <v>211</v>
      </c>
      <c r="G255" s="198" t="s">
        <v>210</v>
      </c>
      <c r="H255" s="198" t="s">
        <v>430</v>
      </c>
      <c r="I255" s="199"/>
    </row>
    <row r="256" spans="1:9">
      <c r="A256" s="13" t="s">
        <v>429</v>
      </c>
      <c r="B256" s="198"/>
      <c r="C256" s="198"/>
      <c r="D256" s="198"/>
      <c r="E256" s="198"/>
      <c r="F256" s="198"/>
      <c r="G256" s="198"/>
      <c r="H256" s="198"/>
      <c r="I256" s="199"/>
    </row>
    <row r="257" spans="1:9" ht="29.25">
      <c r="A257" s="22" t="s">
        <v>428</v>
      </c>
      <c r="B257" s="201">
        <v>19000</v>
      </c>
      <c r="C257" s="201" t="s">
        <v>327</v>
      </c>
      <c r="D257" s="201">
        <v>24</v>
      </c>
      <c r="E257" s="201" t="s">
        <v>229</v>
      </c>
      <c r="F257" s="201" t="s">
        <v>211</v>
      </c>
      <c r="G257" s="201" t="s">
        <v>210</v>
      </c>
      <c r="H257" s="11" t="s">
        <v>427</v>
      </c>
      <c r="I257" s="202"/>
    </row>
    <row r="258" spans="1:9" ht="19.5">
      <c r="A258" s="21" t="s">
        <v>426</v>
      </c>
      <c r="B258" s="201"/>
      <c r="C258" s="201"/>
      <c r="D258" s="201"/>
      <c r="E258" s="201"/>
      <c r="F258" s="201"/>
      <c r="G258" s="201"/>
      <c r="H258" s="11" t="s">
        <v>425</v>
      </c>
      <c r="I258" s="202"/>
    </row>
    <row r="259" spans="1:9" ht="29.25">
      <c r="A259" s="14" t="s">
        <v>424</v>
      </c>
      <c r="B259" s="198">
        <v>17000</v>
      </c>
      <c r="C259" s="198" t="s">
        <v>327</v>
      </c>
      <c r="D259" s="198">
        <v>24</v>
      </c>
      <c r="E259" s="198" t="s">
        <v>283</v>
      </c>
      <c r="F259" s="198" t="s">
        <v>211</v>
      </c>
      <c r="G259" s="198" t="s">
        <v>210</v>
      </c>
      <c r="H259" s="8" t="s">
        <v>423</v>
      </c>
      <c r="I259" s="199"/>
    </row>
    <row r="260" spans="1:9" ht="19.5">
      <c r="A260" s="13" t="s">
        <v>422</v>
      </c>
      <c r="B260" s="198"/>
      <c r="C260" s="198"/>
      <c r="D260" s="198"/>
      <c r="E260" s="198"/>
      <c r="F260" s="198"/>
      <c r="G260" s="198"/>
      <c r="H260" s="8" t="s">
        <v>421</v>
      </c>
      <c r="I260" s="199"/>
    </row>
    <row r="261" spans="1:9" ht="39">
      <c r="A261" s="24" t="s">
        <v>420</v>
      </c>
      <c r="B261" s="11">
        <v>23000</v>
      </c>
      <c r="C261" s="11" t="s">
        <v>327</v>
      </c>
      <c r="D261" s="11">
        <v>29</v>
      </c>
      <c r="E261" s="11" t="s">
        <v>229</v>
      </c>
      <c r="F261" s="11" t="s">
        <v>211</v>
      </c>
      <c r="G261" s="11" t="s">
        <v>210</v>
      </c>
      <c r="H261" s="11" t="s">
        <v>419</v>
      </c>
      <c r="I261" s="10"/>
    </row>
    <row r="262" spans="1:9">
      <c r="A262" s="203"/>
      <c r="B262" s="203"/>
      <c r="C262" s="203"/>
      <c r="D262" s="203"/>
      <c r="E262" s="203"/>
      <c r="F262" s="203"/>
      <c r="G262" s="203"/>
      <c r="H262" s="203"/>
      <c r="I262" s="203"/>
    </row>
    <row r="263" spans="1:9">
      <c r="A263" s="203"/>
      <c r="B263" s="203"/>
      <c r="C263" s="203"/>
      <c r="D263" s="203"/>
      <c r="E263" s="203"/>
      <c r="F263" s="203"/>
      <c r="G263" s="203"/>
      <c r="H263" s="203"/>
      <c r="I263" s="203"/>
    </row>
    <row r="264" spans="1:9">
      <c r="A264" s="200" t="s">
        <v>418</v>
      </c>
      <c r="B264" s="200"/>
      <c r="C264" s="200"/>
      <c r="D264" s="200"/>
      <c r="E264" s="200"/>
      <c r="F264" s="200"/>
      <c r="G264" s="200"/>
      <c r="H264" s="200"/>
      <c r="I264" s="200"/>
    </row>
    <row r="265" spans="1:9">
      <c r="A265" s="17" t="s">
        <v>140</v>
      </c>
      <c r="B265" s="17" t="s">
        <v>242</v>
      </c>
      <c r="C265" s="17" t="s">
        <v>241</v>
      </c>
      <c r="D265" s="17" t="s">
        <v>240</v>
      </c>
      <c r="E265" s="17" t="s">
        <v>239</v>
      </c>
      <c r="F265" s="17" t="s">
        <v>238</v>
      </c>
      <c r="G265" s="17" t="s">
        <v>237</v>
      </c>
      <c r="H265" s="17" t="s">
        <v>236</v>
      </c>
      <c r="I265" s="17" t="s">
        <v>235</v>
      </c>
    </row>
    <row r="266" spans="1:9">
      <c r="A266" s="15" t="s">
        <v>417</v>
      </c>
      <c r="B266" s="201">
        <v>75</v>
      </c>
      <c r="C266" s="201">
        <v>1</v>
      </c>
      <c r="D266" s="201">
        <v>4</v>
      </c>
      <c r="E266" s="201" t="s">
        <v>283</v>
      </c>
      <c r="F266" s="201" t="s">
        <v>228</v>
      </c>
      <c r="G266" s="201" t="s">
        <v>228</v>
      </c>
      <c r="H266" s="201" t="s">
        <v>416</v>
      </c>
      <c r="I266" s="202"/>
    </row>
    <row r="267" spans="1:9">
      <c r="A267" s="23"/>
      <c r="B267" s="201"/>
      <c r="C267" s="201"/>
      <c r="D267" s="201"/>
      <c r="E267" s="201"/>
      <c r="F267" s="201"/>
      <c r="G267" s="201"/>
      <c r="H267" s="201"/>
      <c r="I267" s="202"/>
    </row>
    <row r="268" spans="1:9">
      <c r="A268" s="15" t="s">
        <v>415</v>
      </c>
      <c r="B268" s="201">
        <v>150</v>
      </c>
      <c r="C268" s="201">
        <v>1</v>
      </c>
      <c r="D268" s="201">
        <v>6</v>
      </c>
      <c r="E268" s="201" t="s">
        <v>283</v>
      </c>
      <c r="F268" s="201" t="s">
        <v>228</v>
      </c>
      <c r="G268" s="201" t="s">
        <v>228</v>
      </c>
      <c r="H268" s="201" t="s">
        <v>414</v>
      </c>
      <c r="I268" s="202"/>
    </row>
    <row r="269" spans="1:9">
      <c r="A269" s="23" t="s">
        <v>413</v>
      </c>
      <c r="B269" s="201"/>
      <c r="C269" s="201"/>
      <c r="D269" s="201"/>
      <c r="E269" s="201"/>
      <c r="F269" s="201"/>
      <c r="G269" s="201"/>
      <c r="H269" s="201"/>
      <c r="I269" s="202"/>
    </row>
    <row r="270" spans="1:9">
      <c r="A270" s="16" t="s">
        <v>412</v>
      </c>
      <c r="B270" s="198">
        <v>1500</v>
      </c>
      <c r="C270" s="198">
        <v>1</v>
      </c>
      <c r="D270" s="198">
        <v>12</v>
      </c>
      <c r="E270" s="198" t="s">
        <v>283</v>
      </c>
      <c r="F270" s="198" t="s">
        <v>228</v>
      </c>
      <c r="G270" s="198" t="s">
        <v>228</v>
      </c>
      <c r="H270" s="198" t="s">
        <v>411</v>
      </c>
      <c r="I270" s="199"/>
    </row>
    <row r="271" spans="1:9">
      <c r="A271" s="25" t="s">
        <v>410</v>
      </c>
      <c r="B271" s="198"/>
      <c r="C271" s="198"/>
      <c r="D271" s="198"/>
      <c r="E271" s="198"/>
      <c r="F271" s="198"/>
      <c r="G271" s="198"/>
      <c r="H271" s="198"/>
      <c r="I271" s="199"/>
    </row>
    <row r="272" spans="1:9">
      <c r="A272" s="15" t="s">
        <v>409</v>
      </c>
      <c r="B272" s="201">
        <v>5000</v>
      </c>
      <c r="C272" s="201">
        <v>1</v>
      </c>
      <c r="D272" s="201">
        <v>19</v>
      </c>
      <c r="E272" s="201" t="s">
        <v>283</v>
      </c>
      <c r="F272" s="201" t="s">
        <v>225</v>
      </c>
      <c r="G272" s="201" t="s">
        <v>228</v>
      </c>
      <c r="H272" s="201" t="s">
        <v>408</v>
      </c>
      <c r="I272" s="202"/>
    </row>
    <row r="273" spans="1:9">
      <c r="A273" s="23" t="s">
        <v>96</v>
      </c>
      <c r="B273" s="201"/>
      <c r="C273" s="201"/>
      <c r="D273" s="201"/>
      <c r="E273" s="201"/>
      <c r="F273" s="201"/>
      <c r="G273" s="201"/>
      <c r="H273" s="201"/>
      <c r="I273" s="202"/>
    </row>
    <row r="274" spans="1:9">
      <c r="A274" s="14" t="s">
        <v>404</v>
      </c>
      <c r="B274" s="198">
        <v>9000</v>
      </c>
      <c r="C274" s="198">
        <v>1</v>
      </c>
      <c r="D274" s="198">
        <v>20</v>
      </c>
      <c r="E274" s="198" t="s">
        <v>283</v>
      </c>
      <c r="F274" s="198" t="s">
        <v>211</v>
      </c>
      <c r="G274" s="198" t="s">
        <v>225</v>
      </c>
      <c r="H274" s="198" t="s">
        <v>407</v>
      </c>
      <c r="I274" s="199"/>
    </row>
    <row r="275" spans="1:9">
      <c r="A275" s="13" t="s">
        <v>406</v>
      </c>
      <c r="B275" s="198"/>
      <c r="C275" s="198"/>
      <c r="D275" s="198"/>
      <c r="E275" s="198"/>
      <c r="F275" s="198"/>
      <c r="G275" s="198"/>
      <c r="H275" s="198"/>
      <c r="I275" s="199"/>
    </row>
    <row r="276" spans="1:9">
      <c r="A276" s="22" t="s">
        <v>406</v>
      </c>
      <c r="B276" s="201">
        <v>11000</v>
      </c>
      <c r="C276" s="201">
        <v>1</v>
      </c>
      <c r="D276" s="201">
        <v>21</v>
      </c>
      <c r="E276" s="201" t="s">
        <v>283</v>
      </c>
      <c r="F276" s="201" t="s">
        <v>211</v>
      </c>
      <c r="G276" s="201" t="s">
        <v>211</v>
      </c>
      <c r="H276" s="201" t="s">
        <v>405</v>
      </c>
      <c r="I276" s="202"/>
    </row>
    <row r="277" spans="1:9">
      <c r="A277" s="21" t="s">
        <v>404</v>
      </c>
      <c r="B277" s="201"/>
      <c r="C277" s="201"/>
      <c r="D277" s="201"/>
      <c r="E277" s="201"/>
      <c r="F277" s="201"/>
      <c r="G277" s="201"/>
      <c r="H277" s="201"/>
      <c r="I277" s="202"/>
    </row>
    <row r="278" spans="1:9">
      <c r="A278" s="14" t="s">
        <v>403</v>
      </c>
      <c r="B278" s="198">
        <v>13000</v>
      </c>
      <c r="C278" s="198">
        <v>1</v>
      </c>
      <c r="D278" s="198">
        <v>23</v>
      </c>
      <c r="E278" s="198" t="s">
        <v>283</v>
      </c>
      <c r="F278" s="198" t="s">
        <v>211</v>
      </c>
      <c r="G278" s="198" t="s">
        <v>211</v>
      </c>
      <c r="H278" s="198" t="s">
        <v>402</v>
      </c>
      <c r="I278" s="199"/>
    </row>
    <row r="279" spans="1:9">
      <c r="A279" s="13" t="s">
        <v>401</v>
      </c>
      <c r="B279" s="198"/>
      <c r="C279" s="198"/>
      <c r="D279" s="198"/>
      <c r="E279" s="198"/>
      <c r="F279" s="198"/>
      <c r="G279" s="198"/>
      <c r="H279" s="198"/>
      <c r="I279" s="199"/>
    </row>
    <row r="280" spans="1:9" ht="39">
      <c r="A280" s="12" t="s">
        <v>400</v>
      </c>
      <c r="B280" s="11">
        <v>22000</v>
      </c>
      <c r="C280" s="11">
        <v>1</v>
      </c>
      <c r="D280" s="11">
        <v>27</v>
      </c>
      <c r="E280" s="11" t="s">
        <v>229</v>
      </c>
      <c r="F280" s="11" t="s">
        <v>211</v>
      </c>
      <c r="G280" s="11" t="s">
        <v>211</v>
      </c>
      <c r="H280" s="11" t="s">
        <v>399</v>
      </c>
      <c r="I280" s="10"/>
    </row>
    <row r="281" spans="1:9" ht="48.75">
      <c r="A281" s="19" t="s">
        <v>398</v>
      </c>
      <c r="B281" s="8">
        <v>16000</v>
      </c>
      <c r="C281" s="8">
        <v>1</v>
      </c>
      <c r="D281" s="8">
        <v>28</v>
      </c>
      <c r="E281" s="8" t="s">
        <v>283</v>
      </c>
      <c r="F281" s="8" t="s">
        <v>211</v>
      </c>
      <c r="G281" s="8" t="s">
        <v>211</v>
      </c>
      <c r="H281" s="8" t="s">
        <v>397</v>
      </c>
      <c r="I281" s="7"/>
    </row>
    <row r="282" spans="1:9" ht="48.75">
      <c r="A282" s="24" t="s">
        <v>396</v>
      </c>
      <c r="B282" s="11">
        <v>19000</v>
      </c>
      <c r="C282" s="11">
        <v>1</v>
      </c>
      <c r="D282" s="11">
        <v>30</v>
      </c>
      <c r="E282" s="11" t="s">
        <v>283</v>
      </c>
      <c r="F282" s="11" t="s">
        <v>211</v>
      </c>
      <c r="G282" s="11" t="s">
        <v>211</v>
      </c>
      <c r="H282" s="11" t="s">
        <v>395</v>
      </c>
      <c r="I282" s="10"/>
    </row>
    <row r="283" spans="1:9" ht="58.5">
      <c r="A283" s="19" t="s">
        <v>394</v>
      </c>
      <c r="B283" s="8">
        <v>29000</v>
      </c>
      <c r="C283" s="8">
        <v>1</v>
      </c>
      <c r="D283" s="8">
        <v>44</v>
      </c>
      <c r="E283" s="8" t="s">
        <v>283</v>
      </c>
      <c r="F283" s="8" t="s">
        <v>211</v>
      </c>
      <c r="G283" s="8" t="s">
        <v>211</v>
      </c>
      <c r="H283" s="8" t="s">
        <v>393</v>
      </c>
      <c r="I283" s="7"/>
    </row>
    <row r="284" spans="1:9">
      <c r="A284" s="203"/>
      <c r="B284" s="203"/>
      <c r="C284" s="203"/>
      <c r="D284" s="203"/>
      <c r="E284" s="203"/>
      <c r="F284" s="203"/>
      <c r="G284" s="203"/>
      <c r="H284" s="203"/>
      <c r="I284" s="203"/>
    </row>
    <row r="285" spans="1:9">
      <c r="A285" s="203"/>
      <c r="B285" s="203"/>
      <c r="C285" s="203"/>
      <c r="D285" s="203"/>
      <c r="E285" s="203"/>
      <c r="F285" s="203"/>
      <c r="G285" s="203"/>
      <c r="H285" s="203"/>
      <c r="I285" s="203"/>
    </row>
    <row r="286" spans="1:9">
      <c r="A286" s="200" t="s">
        <v>392</v>
      </c>
      <c r="B286" s="200"/>
      <c r="C286" s="200"/>
      <c r="D286" s="200"/>
      <c r="E286" s="200"/>
      <c r="F286" s="200"/>
      <c r="G286" s="200"/>
      <c r="H286" s="200"/>
      <c r="I286" s="200"/>
    </row>
    <row r="287" spans="1:9">
      <c r="A287" s="17" t="s">
        <v>140</v>
      </c>
      <c r="B287" s="17" t="s">
        <v>242</v>
      </c>
      <c r="C287" s="17" t="s">
        <v>241</v>
      </c>
      <c r="D287" s="17" t="s">
        <v>240</v>
      </c>
      <c r="E287" s="17" t="s">
        <v>239</v>
      </c>
      <c r="F287" s="17" t="s">
        <v>238</v>
      </c>
      <c r="G287" s="17" t="s">
        <v>237</v>
      </c>
      <c r="H287" s="17" t="s">
        <v>236</v>
      </c>
      <c r="I287" s="17" t="s">
        <v>235</v>
      </c>
    </row>
    <row r="288" spans="1:9">
      <c r="A288" s="15" t="s">
        <v>391</v>
      </c>
      <c r="B288" s="201">
        <v>15</v>
      </c>
      <c r="C288" s="201">
        <v>1</v>
      </c>
      <c r="D288" s="201">
        <v>3</v>
      </c>
      <c r="E288" s="201" t="s">
        <v>210</v>
      </c>
      <c r="F288" s="201" t="s">
        <v>228</v>
      </c>
      <c r="G288" s="201" t="s">
        <v>228</v>
      </c>
      <c r="H288" s="201" t="s">
        <v>210</v>
      </c>
      <c r="I288" s="202"/>
    </row>
    <row r="289" spans="1:9">
      <c r="A289" s="23" t="s">
        <v>389</v>
      </c>
      <c r="B289" s="201"/>
      <c r="C289" s="201"/>
      <c r="D289" s="201"/>
      <c r="E289" s="201"/>
      <c r="F289" s="201"/>
      <c r="G289" s="201"/>
      <c r="H289" s="201"/>
      <c r="I289" s="202"/>
    </row>
    <row r="290" spans="1:9">
      <c r="A290" s="15" t="s">
        <v>390</v>
      </c>
      <c r="B290" s="201">
        <v>30</v>
      </c>
      <c r="C290" s="201">
        <v>1</v>
      </c>
      <c r="D290" s="201">
        <v>5</v>
      </c>
      <c r="E290" s="201" t="s">
        <v>210</v>
      </c>
      <c r="F290" s="201" t="s">
        <v>228</v>
      </c>
      <c r="G290" s="201" t="s">
        <v>228</v>
      </c>
      <c r="H290" s="201" t="s">
        <v>210</v>
      </c>
      <c r="I290" s="202"/>
    </row>
    <row r="291" spans="1:9">
      <c r="A291" s="23" t="s">
        <v>389</v>
      </c>
      <c r="B291" s="201"/>
      <c r="C291" s="201"/>
      <c r="D291" s="201"/>
      <c r="E291" s="201"/>
      <c r="F291" s="201"/>
      <c r="G291" s="201"/>
      <c r="H291" s="201"/>
      <c r="I291" s="202"/>
    </row>
    <row r="292" spans="1:9" ht="19.5">
      <c r="A292" s="16" t="s">
        <v>388</v>
      </c>
      <c r="B292" s="8">
        <v>360</v>
      </c>
      <c r="C292" s="8">
        <v>1</v>
      </c>
      <c r="D292" s="8">
        <v>9</v>
      </c>
      <c r="E292" s="8" t="s">
        <v>210</v>
      </c>
      <c r="F292" s="8" t="s">
        <v>228</v>
      </c>
      <c r="G292" s="8" t="s">
        <v>225</v>
      </c>
      <c r="H292" s="8" t="s">
        <v>387</v>
      </c>
      <c r="I292" s="7"/>
    </row>
    <row r="293" spans="1:9" ht="19.5">
      <c r="A293" s="15" t="s">
        <v>386</v>
      </c>
      <c r="B293" s="11">
        <v>2600</v>
      </c>
      <c r="C293" s="11">
        <v>1</v>
      </c>
      <c r="D293" s="11">
        <v>16</v>
      </c>
      <c r="E293" s="11" t="s">
        <v>210</v>
      </c>
      <c r="F293" s="11" t="s">
        <v>225</v>
      </c>
      <c r="G293" s="11" t="s">
        <v>211</v>
      </c>
      <c r="H293" s="11" t="s">
        <v>385</v>
      </c>
      <c r="I293" s="10"/>
    </row>
    <row r="294" spans="1:9" ht="29.25">
      <c r="A294" s="19" t="s">
        <v>384</v>
      </c>
      <c r="B294" s="8">
        <v>6000</v>
      </c>
      <c r="C294" s="8">
        <v>1</v>
      </c>
      <c r="D294" s="8">
        <v>15</v>
      </c>
      <c r="E294" s="8" t="s">
        <v>283</v>
      </c>
      <c r="F294" s="8" t="s">
        <v>225</v>
      </c>
      <c r="G294" s="8" t="s">
        <v>211</v>
      </c>
      <c r="H294" s="8" t="s">
        <v>383</v>
      </c>
      <c r="I294" s="7"/>
    </row>
    <row r="295" spans="1:9">
      <c r="A295" s="22" t="s">
        <v>382</v>
      </c>
      <c r="B295" s="201">
        <v>9000</v>
      </c>
      <c r="C295" s="201">
        <v>1</v>
      </c>
      <c r="D295" s="201">
        <v>18</v>
      </c>
      <c r="E295" s="201" t="s">
        <v>210</v>
      </c>
      <c r="F295" s="201" t="s">
        <v>211</v>
      </c>
      <c r="G295" s="201" t="s">
        <v>211</v>
      </c>
      <c r="H295" s="201" t="s">
        <v>381</v>
      </c>
      <c r="I295" s="202"/>
    </row>
    <row r="296" spans="1:9">
      <c r="A296" s="21" t="s">
        <v>380</v>
      </c>
      <c r="B296" s="201"/>
      <c r="C296" s="201"/>
      <c r="D296" s="201"/>
      <c r="E296" s="201"/>
      <c r="F296" s="201"/>
      <c r="G296" s="201"/>
      <c r="H296" s="201"/>
      <c r="I296" s="202"/>
    </row>
    <row r="297" spans="1:9" ht="39">
      <c r="A297" s="14" t="s">
        <v>379</v>
      </c>
      <c r="B297" s="198">
        <v>13000</v>
      </c>
      <c r="C297" s="198">
        <v>1</v>
      </c>
      <c r="D297" s="198">
        <v>17</v>
      </c>
      <c r="E297" s="198" t="s">
        <v>210</v>
      </c>
      <c r="F297" s="198" t="s">
        <v>211</v>
      </c>
      <c r="G297" s="198" t="s">
        <v>211</v>
      </c>
      <c r="H297" s="8" t="s">
        <v>378</v>
      </c>
      <c r="I297" s="199"/>
    </row>
    <row r="298" spans="1:9" ht="19.5">
      <c r="A298" s="13" t="s">
        <v>377</v>
      </c>
      <c r="B298" s="198"/>
      <c r="C298" s="198"/>
      <c r="D298" s="198"/>
      <c r="E298" s="198"/>
      <c r="F298" s="198"/>
      <c r="G298" s="198"/>
      <c r="H298" s="8" t="s">
        <v>269</v>
      </c>
      <c r="I298" s="199"/>
    </row>
    <row r="299" spans="1:9" ht="29.25">
      <c r="A299" s="22" t="s">
        <v>376</v>
      </c>
      <c r="B299" s="201">
        <v>19000</v>
      </c>
      <c r="C299" s="201">
        <v>1</v>
      </c>
      <c r="D299" s="201">
        <v>17</v>
      </c>
      <c r="E299" s="201" t="s">
        <v>210</v>
      </c>
      <c r="F299" s="201" t="s">
        <v>211</v>
      </c>
      <c r="G299" s="201" t="s">
        <v>211</v>
      </c>
      <c r="H299" s="11" t="s">
        <v>375</v>
      </c>
      <c r="I299" s="202"/>
    </row>
    <row r="300" spans="1:9" ht="48.75">
      <c r="A300" s="21" t="s">
        <v>374</v>
      </c>
      <c r="B300" s="201"/>
      <c r="C300" s="201"/>
      <c r="D300" s="201"/>
      <c r="E300" s="201"/>
      <c r="F300" s="201"/>
      <c r="G300" s="201"/>
      <c r="H300" s="11" t="s">
        <v>373</v>
      </c>
      <c r="I300" s="202"/>
    </row>
    <row r="301" spans="1:9" ht="29.25">
      <c r="A301" s="208" t="s">
        <v>372</v>
      </c>
      <c r="B301" s="198">
        <v>20000</v>
      </c>
      <c r="C301" s="198">
        <v>1</v>
      </c>
      <c r="D301" s="198">
        <v>18</v>
      </c>
      <c r="E301" s="198" t="s">
        <v>229</v>
      </c>
      <c r="F301" s="198" t="s">
        <v>211</v>
      </c>
      <c r="G301" s="198" t="s">
        <v>211</v>
      </c>
      <c r="H301" s="8" t="s">
        <v>371</v>
      </c>
      <c r="I301" s="199"/>
    </row>
    <row r="302" spans="1:9" ht="19.5">
      <c r="A302" s="208"/>
      <c r="B302" s="198"/>
      <c r="C302" s="198"/>
      <c r="D302" s="198"/>
      <c r="E302" s="198"/>
      <c r="F302" s="198"/>
      <c r="G302" s="198"/>
      <c r="H302" s="8" t="s">
        <v>370</v>
      </c>
      <c r="I302" s="199"/>
    </row>
    <row r="303" spans="1:9">
      <c r="A303" s="12" t="s">
        <v>369</v>
      </c>
      <c r="B303" s="201">
        <v>23000</v>
      </c>
      <c r="C303" s="201">
        <v>1</v>
      </c>
      <c r="D303" s="201">
        <v>18</v>
      </c>
      <c r="E303" s="201" t="s">
        <v>210</v>
      </c>
      <c r="F303" s="201" t="s">
        <v>211</v>
      </c>
      <c r="G303" s="201" t="s">
        <v>211</v>
      </c>
      <c r="H303" s="201" t="s">
        <v>368</v>
      </c>
      <c r="I303" s="202"/>
    </row>
    <row r="304" spans="1:9">
      <c r="A304" s="20" t="s">
        <v>367</v>
      </c>
      <c r="B304" s="201"/>
      <c r="C304" s="201"/>
      <c r="D304" s="201"/>
      <c r="E304" s="201"/>
      <c r="F304" s="201"/>
      <c r="G304" s="201"/>
      <c r="H304" s="201"/>
      <c r="I304" s="202"/>
    </row>
    <row r="305" spans="1:9" ht="29.25">
      <c r="A305" s="27" t="s">
        <v>366</v>
      </c>
      <c r="B305" s="8">
        <v>24000</v>
      </c>
      <c r="C305" s="8">
        <v>1</v>
      </c>
      <c r="D305" s="8">
        <v>23</v>
      </c>
      <c r="E305" s="8" t="s">
        <v>210</v>
      </c>
      <c r="F305" s="8" t="s">
        <v>211</v>
      </c>
      <c r="G305" s="8" t="s">
        <v>211</v>
      </c>
      <c r="H305" s="8" t="s">
        <v>365</v>
      </c>
      <c r="I305" s="7"/>
    </row>
    <row r="306" spans="1:9" ht="29.25">
      <c r="A306" s="206" t="s">
        <v>364</v>
      </c>
      <c r="B306" s="201">
        <v>25000</v>
      </c>
      <c r="C306" s="201">
        <v>1</v>
      </c>
      <c r="D306" s="201">
        <v>22</v>
      </c>
      <c r="E306" s="201" t="s">
        <v>210</v>
      </c>
      <c r="F306" s="201" t="s">
        <v>211</v>
      </c>
      <c r="G306" s="201" t="s">
        <v>211</v>
      </c>
      <c r="H306" s="11" t="s">
        <v>363</v>
      </c>
      <c r="I306" s="202"/>
    </row>
    <row r="307" spans="1:9" ht="19.5">
      <c r="A307" s="206"/>
      <c r="B307" s="201"/>
      <c r="C307" s="201"/>
      <c r="D307" s="201"/>
      <c r="E307" s="201"/>
      <c r="F307" s="201"/>
      <c r="G307" s="201"/>
      <c r="H307" s="11" t="s">
        <v>267</v>
      </c>
      <c r="I307" s="202"/>
    </row>
    <row r="308" spans="1:9">
      <c r="A308" s="29"/>
      <c r="B308" s="28"/>
      <c r="C308" s="28"/>
      <c r="D308" s="28"/>
      <c r="E308" s="28"/>
      <c r="F308" s="28"/>
      <c r="G308" s="28"/>
      <c r="H308" s="28"/>
      <c r="I308" s="28"/>
    </row>
    <row r="309" spans="1:9">
      <c r="A309" s="209"/>
      <c r="B309" s="209"/>
      <c r="C309" s="209"/>
      <c r="D309" s="209"/>
      <c r="E309" s="209"/>
      <c r="F309" s="209"/>
      <c r="G309" s="209"/>
      <c r="H309" s="209"/>
      <c r="I309" s="209"/>
    </row>
    <row r="310" spans="1:9">
      <c r="A310" s="210"/>
      <c r="B310" s="210"/>
      <c r="C310" s="210"/>
      <c r="D310" s="210"/>
      <c r="E310" s="210"/>
      <c r="F310" s="210"/>
      <c r="G310" s="210"/>
      <c r="H310" s="210"/>
      <c r="I310" s="210"/>
    </row>
    <row r="311" spans="1:9">
      <c r="A311" s="200" t="s">
        <v>362</v>
      </c>
      <c r="B311" s="200"/>
      <c r="C311" s="200"/>
      <c r="D311" s="200"/>
      <c r="E311" s="200"/>
      <c r="F311" s="200"/>
      <c r="G311" s="200"/>
      <c r="H311" s="200"/>
      <c r="I311" s="200"/>
    </row>
    <row r="312" spans="1:9">
      <c r="A312" s="17" t="s">
        <v>140</v>
      </c>
      <c r="B312" s="17" t="s">
        <v>242</v>
      </c>
      <c r="C312" s="17" t="s">
        <v>241</v>
      </c>
      <c r="D312" s="17" t="s">
        <v>240</v>
      </c>
      <c r="E312" s="17" t="s">
        <v>239</v>
      </c>
      <c r="F312" s="17" t="s">
        <v>238</v>
      </c>
      <c r="G312" s="17" t="s">
        <v>237</v>
      </c>
      <c r="H312" s="17" t="s">
        <v>236</v>
      </c>
      <c r="I312" s="17" t="s">
        <v>235</v>
      </c>
    </row>
    <row r="313" spans="1:9">
      <c r="A313" s="15" t="s">
        <v>361</v>
      </c>
      <c r="B313" s="201">
        <v>300</v>
      </c>
      <c r="C313" s="201">
        <v>2</v>
      </c>
      <c r="D313" s="201">
        <v>8</v>
      </c>
      <c r="E313" s="201" t="s">
        <v>210</v>
      </c>
      <c r="F313" s="201" t="s">
        <v>228</v>
      </c>
      <c r="G313" s="201" t="s">
        <v>210</v>
      </c>
      <c r="H313" s="201" t="s">
        <v>210</v>
      </c>
      <c r="I313" s="202"/>
    </row>
    <row r="314" spans="1:9">
      <c r="A314" s="23" t="s">
        <v>359</v>
      </c>
      <c r="B314" s="201"/>
      <c r="C314" s="201"/>
      <c r="D314" s="201"/>
      <c r="E314" s="201"/>
      <c r="F314" s="201"/>
      <c r="G314" s="201"/>
      <c r="H314" s="201"/>
      <c r="I314" s="202"/>
    </row>
    <row r="315" spans="1:9">
      <c r="A315" s="15" t="s">
        <v>360</v>
      </c>
      <c r="B315" s="201">
        <v>600</v>
      </c>
      <c r="C315" s="201">
        <v>2</v>
      </c>
      <c r="D315" s="201">
        <v>11</v>
      </c>
      <c r="E315" s="201" t="s">
        <v>210</v>
      </c>
      <c r="F315" s="201" t="s">
        <v>228</v>
      </c>
      <c r="G315" s="201" t="s">
        <v>210</v>
      </c>
      <c r="H315" s="201" t="s">
        <v>210</v>
      </c>
      <c r="I315" s="202"/>
    </row>
    <row r="316" spans="1:9">
      <c r="A316" s="23" t="s">
        <v>359</v>
      </c>
      <c r="B316" s="201"/>
      <c r="C316" s="201"/>
      <c r="D316" s="201"/>
      <c r="E316" s="201"/>
      <c r="F316" s="201"/>
      <c r="G316" s="201"/>
      <c r="H316" s="201"/>
      <c r="I316" s="202"/>
    </row>
    <row r="317" spans="1:9">
      <c r="A317" s="16" t="s">
        <v>358</v>
      </c>
      <c r="B317" s="198">
        <v>3000</v>
      </c>
      <c r="C317" s="198">
        <v>2</v>
      </c>
      <c r="D317" s="198">
        <v>16</v>
      </c>
      <c r="E317" s="198" t="s">
        <v>210</v>
      </c>
      <c r="F317" s="198" t="s">
        <v>228</v>
      </c>
      <c r="G317" s="198" t="s">
        <v>210</v>
      </c>
      <c r="H317" s="198" t="s">
        <v>210</v>
      </c>
      <c r="I317" s="199"/>
    </row>
    <row r="318" spans="1:9">
      <c r="A318" s="25" t="s">
        <v>357</v>
      </c>
      <c r="B318" s="198"/>
      <c r="C318" s="198"/>
      <c r="D318" s="198"/>
      <c r="E318" s="198"/>
      <c r="F318" s="198"/>
      <c r="G318" s="198"/>
      <c r="H318" s="198"/>
      <c r="I318" s="199"/>
    </row>
    <row r="319" spans="1:9">
      <c r="A319" s="15" t="s">
        <v>356</v>
      </c>
      <c r="B319" s="201">
        <v>11000</v>
      </c>
      <c r="C319" s="201" t="s">
        <v>327</v>
      </c>
      <c r="D319" s="201">
        <v>22</v>
      </c>
      <c r="E319" s="201" t="s">
        <v>210</v>
      </c>
      <c r="F319" s="201" t="s">
        <v>225</v>
      </c>
      <c r="G319" s="201" t="s">
        <v>210</v>
      </c>
      <c r="H319" s="201" t="s">
        <v>210</v>
      </c>
      <c r="I319" s="202"/>
    </row>
    <row r="320" spans="1:9">
      <c r="A320" s="23" t="s">
        <v>355</v>
      </c>
      <c r="B320" s="201"/>
      <c r="C320" s="201"/>
      <c r="D320" s="201"/>
      <c r="E320" s="201"/>
      <c r="F320" s="201"/>
      <c r="G320" s="201"/>
      <c r="H320" s="201"/>
      <c r="I320" s="202"/>
    </row>
    <row r="321" spans="1:9">
      <c r="A321" s="14" t="s">
        <v>354</v>
      </c>
      <c r="B321" s="198">
        <v>15000</v>
      </c>
      <c r="C321" s="198" t="s">
        <v>327</v>
      </c>
      <c r="D321" s="198">
        <v>24</v>
      </c>
      <c r="E321" s="198" t="s">
        <v>345</v>
      </c>
      <c r="F321" s="198" t="s">
        <v>225</v>
      </c>
      <c r="G321" s="198" t="s">
        <v>210</v>
      </c>
      <c r="H321" s="198" t="s">
        <v>282</v>
      </c>
      <c r="I321" s="199"/>
    </row>
    <row r="322" spans="1:9">
      <c r="A322" s="13" t="s">
        <v>353</v>
      </c>
      <c r="B322" s="198"/>
      <c r="C322" s="198"/>
      <c r="D322" s="198"/>
      <c r="E322" s="198"/>
      <c r="F322" s="198"/>
      <c r="G322" s="198"/>
      <c r="H322" s="198"/>
      <c r="I322" s="199"/>
    </row>
    <row r="323" spans="1:9">
      <c r="A323" s="22" t="s">
        <v>352</v>
      </c>
      <c r="B323" s="201">
        <v>18000</v>
      </c>
      <c r="C323" s="201" t="s">
        <v>327</v>
      </c>
      <c r="D323" s="201">
        <v>23</v>
      </c>
      <c r="E323" s="201" t="s">
        <v>210</v>
      </c>
      <c r="F323" s="201" t="s">
        <v>225</v>
      </c>
      <c r="G323" s="201" t="s">
        <v>210</v>
      </c>
      <c r="H323" s="201" t="s">
        <v>351</v>
      </c>
      <c r="I323" s="202"/>
    </row>
    <row r="324" spans="1:9">
      <c r="A324" s="21" t="s">
        <v>350</v>
      </c>
      <c r="B324" s="201"/>
      <c r="C324" s="201"/>
      <c r="D324" s="201"/>
      <c r="E324" s="201"/>
      <c r="F324" s="201"/>
      <c r="G324" s="201"/>
      <c r="H324" s="201"/>
      <c r="I324" s="202"/>
    </row>
    <row r="325" spans="1:9">
      <c r="A325" s="14" t="s">
        <v>349</v>
      </c>
      <c r="B325" s="198">
        <v>24000</v>
      </c>
      <c r="C325" s="198" t="s">
        <v>327</v>
      </c>
      <c r="D325" s="198">
        <v>25</v>
      </c>
      <c r="E325" s="198" t="s">
        <v>345</v>
      </c>
      <c r="F325" s="198" t="s">
        <v>225</v>
      </c>
      <c r="G325" s="198" t="s">
        <v>210</v>
      </c>
      <c r="H325" s="198" t="s">
        <v>348</v>
      </c>
      <c r="I325" s="199"/>
    </row>
    <row r="326" spans="1:9">
      <c r="A326" s="13" t="s">
        <v>347</v>
      </c>
      <c r="B326" s="198"/>
      <c r="C326" s="198"/>
      <c r="D326" s="198"/>
      <c r="E326" s="198"/>
      <c r="F326" s="198"/>
      <c r="G326" s="198"/>
      <c r="H326" s="198"/>
      <c r="I326" s="199"/>
    </row>
    <row r="327" spans="1:9" ht="19.5">
      <c r="A327" s="24" t="s">
        <v>346</v>
      </c>
      <c r="B327" s="11">
        <v>26000</v>
      </c>
      <c r="C327" s="11" t="s">
        <v>327</v>
      </c>
      <c r="D327" s="11">
        <v>29</v>
      </c>
      <c r="E327" s="11" t="s">
        <v>345</v>
      </c>
      <c r="F327" s="11" t="s">
        <v>211</v>
      </c>
      <c r="G327" s="11" t="s">
        <v>210</v>
      </c>
      <c r="H327" s="11" t="s">
        <v>344</v>
      </c>
      <c r="I327" s="10"/>
    </row>
    <row r="328" spans="1:9">
      <c r="A328" s="203"/>
      <c r="B328" s="203"/>
      <c r="C328" s="203"/>
      <c r="D328" s="203"/>
      <c r="E328" s="203"/>
      <c r="F328" s="203"/>
      <c r="G328" s="203"/>
      <c r="H328" s="203"/>
      <c r="I328" s="203"/>
    </row>
    <row r="329" spans="1:9">
      <c r="A329" s="203"/>
      <c r="B329" s="203"/>
      <c r="C329" s="203"/>
      <c r="D329" s="203"/>
      <c r="E329" s="203"/>
      <c r="F329" s="203"/>
      <c r="G329" s="203"/>
      <c r="H329" s="203"/>
      <c r="I329" s="203"/>
    </row>
    <row r="330" spans="1:9">
      <c r="A330" s="200" t="s">
        <v>343</v>
      </c>
      <c r="B330" s="200"/>
      <c r="C330" s="200"/>
      <c r="D330" s="200"/>
      <c r="E330" s="200"/>
      <c r="F330" s="200"/>
      <c r="G330" s="200"/>
      <c r="H330" s="200"/>
      <c r="I330" s="200"/>
    </row>
    <row r="331" spans="1:9">
      <c r="A331" s="17" t="s">
        <v>140</v>
      </c>
      <c r="B331" s="17" t="s">
        <v>242</v>
      </c>
      <c r="C331" s="17" t="s">
        <v>241</v>
      </c>
      <c r="D331" s="17" t="s">
        <v>240</v>
      </c>
      <c r="E331" s="17" t="s">
        <v>239</v>
      </c>
      <c r="F331" s="17" t="s">
        <v>238</v>
      </c>
      <c r="G331" s="17" t="s">
        <v>237</v>
      </c>
      <c r="H331" s="17" t="s">
        <v>236</v>
      </c>
      <c r="I331" s="17" t="s">
        <v>235</v>
      </c>
    </row>
    <row r="332" spans="1:9" ht="19.5">
      <c r="A332" s="15" t="s">
        <v>342</v>
      </c>
      <c r="B332" s="11">
        <v>150</v>
      </c>
      <c r="C332" s="11">
        <v>2</v>
      </c>
      <c r="D332" s="11">
        <v>3</v>
      </c>
      <c r="E332" s="11" t="s">
        <v>210</v>
      </c>
      <c r="F332" s="11" t="s">
        <v>228</v>
      </c>
      <c r="G332" s="11" t="s">
        <v>228</v>
      </c>
      <c r="H332" s="11" t="s">
        <v>210</v>
      </c>
      <c r="I332" s="10"/>
    </row>
    <row r="333" spans="1:9" ht="19.5">
      <c r="A333" s="15" t="s">
        <v>341</v>
      </c>
      <c r="B333" s="11">
        <v>300</v>
      </c>
      <c r="C333" s="11">
        <v>2</v>
      </c>
      <c r="D333" s="11">
        <v>5</v>
      </c>
      <c r="E333" s="11" t="s">
        <v>210</v>
      </c>
      <c r="F333" s="11" t="s">
        <v>228</v>
      </c>
      <c r="G333" s="11" t="s">
        <v>228</v>
      </c>
      <c r="H333" s="11" t="s">
        <v>210</v>
      </c>
      <c r="I333" s="10"/>
    </row>
    <row r="334" spans="1:9" ht="19.5">
      <c r="A334" s="16" t="s">
        <v>340</v>
      </c>
      <c r="B334" s="8">
        <v>1200</v>
      </c>
      <c r="C334" s="8">
        <v>2</v>
      </c>
      <c r="D334" s="8">
        <v>8</v>
      </c>
      <c r="E334" s="8" t="s">
        <v>210</v>
      </c>
      <c r="F334" s="8" t="s">
        <v>228</v>
      </c>
      <c r="G334" s="8" t="s">
        <v>228</v>
      </c>
      <c r="H334" s="8" t="s">
        <v>210</v>
      </c>
      <c r="I334" s="7"/>
    </row>
    <row r="335" spans="1:9" ht="19.5">
      <c r="A335" s="15" t="s">
        <v>339</v>
      </c>
      <c r="B335" s="201">
        <v>4000</v>
      </c>
      <c r="C335" s="201">
        <v>2</v>
      </c>
      <c r="D335" s="201">
        <v>13</v>
      </c>
      <c r="E335" s="201" t="s">
        <v>210</v>
      </c>
      <c r="F335" s="201" t="s">
        <v>225</v>
      </c>
      <c r="G335" s="201" t="s">
        <v>228</v>
      </c>
      <c r="H335" s="201" t="s">
        <v>210</v>
      </c>
      <c r="I335" s="202"/>
    </row>
    <row r="336" spans="1:9">
      <c r="A336" s="23" t="s">
        <v>338</v>
      </c>
      <c r="B336" s="201"/>
      <c r="C336" s="201"/>
      <c r="D336" s="201"/>
      <c r="E336" s="201"/>
      <c r="F336" s="201"/>
      <c r="G336" s="201"/>
      <c r="H336" s="201"/>
      <c r="I336" s="202"/>
    </row>
    <row r="337" spans="1:9" ht="19.5">
      <c r="A337" s="14" t="s">
        <v>337</v>
      </c>
      <c r="B337" s="198">
        <v>7000</v>
      </c>
      <c r="C337" s="198" t="s">
        <v>327</v>
      </c>
      <c r="D337" s="198">
        <v>15</v>
      </c>
      <c r="E337" s="198" t="s">
        <v>210</v>
      </c>
      <c r="F337" s="198" t="s">
        <v>211</v>
      </c>
      <c r="G337" s="198" t="s">
        <v>225</v>
      </c>
      <c r="H337" s="198" t="s">
        <v>336</v>
      </c>
      <c r="I337" s="199"/>
    </row>
    <row r="338" spans="1:9">
      <c r="A338" s="13" t="s">
        <v>335</v>
      </c>
      <c r="B338" s="198"/>
      <c r="C338" s="198"/>
      <c r="D338" s="198"/>
      <c r="E338" s="198"/>
      <c r="F338" s="198"/>
      <c r="G338" s="198"/>
      <c r="H338" s="198"/>
      <c r="I338" s="199"/>
    </row>
    <row r="339" spans="1:9" ht="19.5">
      <c r="A339" s="22" t="s">
        <v>334</v>
      </c>
      <c r="B339" s="201">
        <v>9000</v>
      </c>
      <c r="C339" s="201" t="s">
        <v>327</v>
      </c>
      <c r="D339" s="201">
        <v>16</v>
      </c>
      <c r="E339" s="201" t="s">
        <v>210</v>
      </c>
      <c r="F339" s="201" t="s">
        <v>211</v>
      </c>
      <c r="G339" s="201" t="s">
        <v>225</v>
      </c>
      <c r="H339" s="201" t="s">
        <v>333</v>
      </c>
      <c r="I339" s="202"/>
    </row>
    <row r="340" spans="1:9">
      <c r="A340" s="21" t="s">
        <v>332</v>
      </c>
      <c r="B340" s="201"/>
      <c r="C340" s="201"/>
      <c r="D340" s="201"/>
      <c r="E340" s="201"/>
      <c r="F340" s="201"/>
      <c r="G340" s="201"/>
      <c r="H340" s="201"/>
      <c r="I340" s="202"/>
    </row>
    <row r="341" spans="1:9" ht="19.5">
      <c r="A341" s="14" t="s">
        <v>331</v>
      </c>
      <c r="B341" s="198">
        <v>13000</v>
      </c>
      <c r="C341" s="198" t="s">
        <v>327</v>
      </c>
      <c r="D341" s="198">
        <v>18</v>
      </c>
      <c r="E341" s="198" t="s">
        <v>210</v>
      </c>
      <c r="F341" s="198" t="s">
        <v>211</v>
      </c>
      <c r="G341" s="198" t="s">
        <v>225</v>
      </c>
      <c r="H341" s="198" t="s">
        <v>330</v>
      </c>
      <c r="I341" s="199"/>
    </row>
    <row r="342" spans="1:9">
      <c r="A342" s="13" t="s">
        <v>329</v>
      </c>
      <c r="B342" s="198"/>
      <c r="C342" s="198"/>
      <c r="D342" s="198"/>
      <c r="E342" s="198"/>
      <c r="F342" s="198"/>
      <c r="G342" s="198"/>
      <c r="H342" s="198"/>
      <c r="I342" s="199"/>
    </row>
    <row r="343" spans="1:9" ht="19.5">
      <c r="A343" s="206" t="s">
        <v>328</v>
      </c>
      <c r="B343" s="201">
        <v>15000</v>
      </c>
      <c r="C343" s="201" t="s">
        <v>327</v>
      </c>
      <c r="D343" s="201">
        <v>27</v>
      </c>
      <c r="E343" s="201" t="s">
        <v>210</v>
      </c>
      <c r="F343" s="201" t="s">
        <v>211</v>
      </c>
      <c r="G343" s="201" t="s">
        <v>211</v>
      </c>
      <c r="H343" s="11" t="s">
        <v>326</v>
      </c>
      <c r="I343" s="202"/>
    </row>
    <row r="344" spans="1:9" ht="29.25">
      <c r="A344" s="206"/>
      <c r="B344" s="201"/>
      <c r="C344" s="201"/>
      <c r="D344" s="201"/>
      <c r="E344" s="201"/>
      <c r="F344" s="201"/>
      <c r="G344" s="201"/>
      <c r="H344" s="11" t="s">
        <v>325</v>
      </c>
      <c r="I344" s="202"/>
    </row>
    <row r="345" spans="1:9">
      <c r="A345" s="203"/>
      <c r="B345" s="203"/>
      <c r="C345" s="203"/>
      <c r="D345" s="203"/>
      <c r="E345" s="203"/>
      <c r="F345" s="203"/>
      <c r="G345" s="203"/>
      <c r="H345" s="203"/>
      <c r="I345" s="203"/>
    </row>
    <row r="346" spans="1:9">
      <c r="A346" s="203"/>
      <c r="B346" s="203"/>
      <c r="C346" s="203"/>
      <c r="D346" s="203"/>
      <c r="E346" s="203"/>
      <c r="F346" s="203"/>
      <c r="G346" s="203"/>
      <c r="H346" s="203"/>
      <c r="I346" s="203"/>
    </row>
    <row r="347" spans="1:9">
      <c r="A347" s="200" t="s">
        <v>324</v>
      </c>
      <c r="B347" s="200"/>
      <c r="C347" s="200"/>
      <c r="D347" s="200"/>
      <c r="E347" s="200"/>
      <c r="F347" s="200"/>
      <c r="G347" s="200"/>
      <c r="H347" s="200"/>
      <c r="I347" s="200"/>
    </row>
    <row r="348" spans="1:9">
      <c r="A348" s="17" t="s">
        <v>140</v>
      </c>
      <c r="B348" s="17" t="s">
        <v>242</v>
      </c>
      <c r="C348" s="17" t="s">
        <v>241</v>
      </c>
      <c r="D348" s="17" t="s">
        <v>240</v>
      </c>
      <c r="E348" s="17" t="s">
        <v>239</v>
      </c>
      <c r="F348" s="17" t="s">
        <v>238</v>
      </c>
      <c r="G348" s="17" t="s">
        <v>237</v>
      </c>
      <c r="H348" s="17" t="s">
        <v>236</v>
      </c>
      <c r="I348" s="17" t="s">
        <v>235</v>
      </c>
    </row>
    <row r="349" spans="1:9" ht="15.75">
      <c r="A349" s="15" t="s">
        <v>99</v>
      </c>
      <c r="B349" s="11">
        <v>90</v>
      </c>
      <c r="C349" s="11" t="s">
        <v>275</v>
      </c>
      <c r="D349" s="11">
        <v>4</v>
      </c>
      <c r="E349" s="11" t="s">
        <v>210</v>
      </c>
      <c r="F349" s="11" t="s">
        <v>228</v>
      </c>
      <c r="G349" s="11" t="s">
        <v>210</v>
      </c>
      <c r="H349" s="11" t="s">
        <v>210</v>
      </c>
      <c r="I349" s="10"/>
    </row>
    <row r="350" spans="1:9" ht="15.75">
      <c r="A350" s="15" t="s">
        <v>323</v>
      </c>
      <c r="B350" s="11">
        <v>180</v>
      </c>
      <c r="C350" s="11" t="s">
        <v>275</v>
      </c>
      <c r="D350" s="11">
        <v>7</v>
      </c>
      <c r="E350" s="11" t="s">
        <v>210</v>
      </c>
      <c r="F350" s="11" t="s">
        <v>228</v>
      </c>
      <c r="G350" s="11" t="s">
        <v>210</v>
      </c>
      <c r="H350" s="11" t="s">
        <v>210</v>
      </c>
      <c r="I350" s="10"/>
    </row>
    <row r="351" spans="1:9" ht="15.75">
      <c r="A351" s="16" t="s">
        <v>322</v>
      </c>
      <c r="B351" s="8">
        <v>1800</v>
      </c>
      <c r="C351" s="8" t="s">
        <v>275</v>
      </c>
      <c r="D351" s="8">
        <v>12</v>
      </c>
      <c r="E351" s="8" t="s">
        <v>210</v>
      </c>
      <c r="F351" s="8" t="s">
        <v>228</v>
      </c>
      <c r="G351" s="8" t="s">
        <v>210</v>
      </c>
      <c r="H351" s="8" t="s">
        <v>210</v>
      </c>
      <c r="I351" s="7"/>
    </row>
    <row r="352" spans="1:9" ht="15.75">
      <c r="A352" s="15" t="s">
        <v>321</v>
      </c>
      <c r="B352" s="11">
        <v>5800</v>
      </c>
      <c r="C352" s="11" t="s">
        <v>275</v>
      </c>
      <c r="D352" s="11">
        <v>18</v>
      </c>
      <c r="E352" s="11" t="s">
        <v>210</v>
      </c>
      <c r="F352" s="11" t="s">
        <v>225</v>
      </c>
      <c r="G352" s="11" t="s">
        <v>210</v>
      </c>
      <c r="H352" s="11" t="s">
        <v>210</v>
      </c>
      <c r="I352" s="10"/>
    </row>
    <row r="353" spans="1:9" ht="15.75">
      <c r="A353" s="14" t="s">
        <v>320</v>
      </c>
      <c r="B353" s="8">
        <v>9000</v>
      </c>
      <c r="C353" s="8" t="s">
        <v>275</v>
      </c>
      <c r="D353" s="8">
        <v>19</v>
      </c>
      <c r="E353" s="8" t="s">
        <v>229</v>
      </c>
      <c r="F353" s="8" t="s">
        <v>211</v>
      </c>
      <c r="G353" s="8" t="s">
        <v>228</v>
      </c>
      <c r="H353" s="8" t="s">
        <v>282</v>
      </c>
      <c r="I353" s="7"/>
    </row>
    <row r="354" spans="1:9" ht="15.75">
      <c r="A354" s="22" t="s">
        <v>319</v>
      </c>
      <c r="B354" s="11">
        <v>12000</v>
      </c>
      <c r="C354" s="11" t="s">
        <v>275</v>
      </c>
      <c r="D354" s="11">
        <v>18</v>
      </c>
      <c r="E354" s="11" t="s">
        <v>210</v>
      </c>
      <c r="F354" s="11" t="s">
        <v>211</v>
      </c>
      <c r="G354" s="11" t="s">
        <v>210</v>
      </c>
      <c r="H354" s="11" t="s">
        <v>306</v>
      </c>
      <c r="I354" s="10"/>
    </row>
    <row r="355" spans="1:9">
      <c r="A355" s="14" t="s">
        <v>318</v>
      </c>
      <c r="B355" s="198">
        <v>16000</v>
      </c>
      <c r="C355" s="198" t="s">
        <v>275</v>
      </c>
      <c r="D355" s="198">
        <v>19</v>
      </c>
      <c r="E355" s="198" t="s">
        <v>210</v>
      </c>
      <c r="F355" s="198" t="s">
        <v>211</v>
      </c>
      <c r="G355" s="198" t="s">
        <v>228</v>
      </c>
      <c r="H355" s="198" t="s">
        <v>317</v>
      </c>
      <c r="I355" s="199"/>
    </row>
    <row r="356" spans="1:9">
      <c r="A356" s="13" t="s">
        <v>316</v>
      </c>
      <c r="B356" s="198"/>
      <c r="C356" s="198"/>
      <c r="D356" s="198"/>
      <c r="E356" s="198"/>
      <c r="F356" s="198"/>
      <c r="G356" s="198"/>
      <c r="H356" s="198"/>
      <c r="I356" s="199"/>
    </row>
    <row r="357" spans="1:9" ht="29.25">
      <c r="A357" s="206" t="s">
        <v>315</v>
      </c>
      <c r="B357" s="201">
        <v>18000</v>
      </c>
      <c r="C357" s="201" t="s">
        <v>275</v>
      </c>
      <c r="D357" s="201">
        <v>26</v>
      </c>
      <c r="E357" s="201" t="s">
        <v>210</v>
      </c>
      <c r="F357" s="201" t="s">
        <v>211</v>
      </c>
      <c r="G357" s="201" t="s">
        <v>211</v>
      </c>
      <c r="H357" s="11" t="s">
        <v>314</v>
      </c>
      <c r="I357" s="202"/>
    </row>
    <row r="358" spans="1:9" ht="29.25">
      <c r="A358" s="206"/>
      <c r="B358" s="201"/>
      <c r="C358" s="201"/>
      <c r="D358" s="201"/>
      <c r="E358" s="201"/>
      <c r="F358" s="201"/>
      <c r="G358" s="201"/>
      <c r="H358" s="11" t="s">
        <v>313</v>
      </c>
      <c r="I358" s="202"/>
    </row>
    <row r="359" spans="1:9">
      <c r="A359" s="203"/>
      <c r="B359" s="203"/>
      <c r="C359" s="203"/>
      <c r="D359" s="203"/>
      <c r="E359" s="203"/>
      <c r="F359" s="203"/>
      <c r="G359" s="203"/>
      <c r="H359" s="203"/>
      <c r="I359" s="203"/>
    </row>
    <row r="360" spans="1:9">
      <c r="A360" s="203"/>
      <c r="B360" s="203"/>
      <c r="C360" s="203"/>
      <c r="D360" s="203"/>
      <c r="E360" s="203"/>
      <c r="F360" s="203"/>
      <c r="G360" s="203"/>
      <c r="H360" s="203"/>
      <c r="I360" s="203"/>
    </row>
    <row r="361" spans="1:9">
      <c r="A361" s="200" t="s">
        <v>312</v>
      </c>
      <c r="B361" s="200"/>
      <c r="C361" s="200"/>
      <c r="D361" s="200"/>
      <c r="E361" s="200"/>
      <c r="F361" s="200"/>
      <c r="G361" s="200"/>
      <c r="H361" s="200"/>
      <c r="I361" s="200"/>
    </row>
    <row r="362" spans="1:9">
      <c r="A362" s="17" t="s">
        <v>140</v>
      </c>
      <c r="B362" s="17" t="s">
        <v>242</v>
      </c>
      <c r="C362" s="17" t="s">
        <v>241</v>
      </c>
      <c r="D362" s="17" t="s">
        <v>240</v>
      </c>
      <c r="E362" s="17" t="s">
        <v>239</v>
      </c>
      <c r="F362" s="17" t="s">
        <v>238</v>
      </c>
      <c r="G362" s="17" t="s">
        <v>237</v>
      </c>
      <c r="H362" s="17" t="s">
        <v>236</v>
      </c>
      <c r="I362" s="17" t="s">
        <v>235</v>
      </c>
    </row>
    <row r="363" spans="1:9" ht="15.75">
      <c r="A363" s="15" t="s">
        <v>311</v>
      </c>
      <c r="B363" s="11">
        <v>200</v>
      </c>
      <c r="C363" s="11">
        <v>1</v>
      </c>
      <c r="D363" s="11">
        <v>5</v>
      </c>
      <c r="E363" s="11" t="s">
        <v>210</v>
      </c>
      <c r="F363" s="11" t="s">
        <v>228</v>
      </c>
      <c r="G363" s="11" t="s">
        <v>210</v>
      </c>
      <c r="H363" s="11" t="s">
        <v>210</v>
      </c>
      <c r="I363" s="10"/>
    </row>
    <row r="364" spans="1:9" ht="15.75">
      <c r="A364" s="16" t="s">
        <v>310</v>
      </c>
      <c r="B364" s="8">
        <v>750</v>
      </c>
      <c r="C364" s="8">
        <v>1</v>
      </c>
      <c r="D364" s="8">
        <v>9</v>
      </c>
      <c r="E364" s="8" t="s">
        <v>210</v>
      </c>
      <c r="F364" s="8" t="s">
        <v>228</v>
      </c>
      <c r="G364" s="8" t="s">
        <v>210</v>
      </c>
      <c r="H364" s="8" t="s">
        <v>210</v>
      </c>
      <c r="I364" s="7"/>
    </row>
    <row r="365" spans="1:9" ht="15.75">
      <c r="A365" s="15" t="s">
        <v>309</v>
      </c>
      <c r="B365" s="11">
        <v>3800</v>
      </c>
      <c r="C365" s="11">
        <v>1</v>
      </c>
      <c r="D365" s="11">
        <v>14</v>
      </c>
      <c r="E365" s="11" t="s">
        <v>210</v>
      </c>
      <c r="F365" s="11" t="s">
        <v>228</v>
      </c>
      <c r="G365" s="11" t="s">
        <v>210</v>
      </c>
      <c r="H365" s="11" t="s">
        <v>210</v>
      </c>
      <c r="I365" s="10"/>
    </row>
    <row r="366" spans="1:9" ht="15.75">
      <c r="A366" s="16" t="s">
        <v>308</v>
      </c>
      <c r="B366" s="8">
        <v>10000</v>
      </c>
      <c r="C366" s="8">
        <v>1</v>
      </c>
      <c r="D366" s="8">
        <v>23</v>
      </c>
      <c r="E366" s="8" t="s">
        <v>210</v>
      </c>
      <c r="F366" s="8" t="s">
        <v>225</v>
      </c>
      <c r="G366" s="8" t="s">
        <v>210</v>
      </c>
      <c r="H366" s="8" t="s">
        <v>210</v>
      </c>
      <c r="I366" s="7"/>
    </row>
    <row r="367" spans="1:9" ht="15.75">
      <c r="A367" s="22" t="s">
        <v>307</v>
      </c>
      <c r="B367" s="11">
        <v>12000</v>
      </c>
      <c r="C367" s="11">
        <v>1</v>
      </c>
      <c r="D367" s="11">
        <v>23</v>
      </c>
      <c r="E367" s="11" t="s">
        <v>210</v>
      </c>
      <c r="F367" s="11" t="s">
        <v>211</v>
      </c>
      <c r="G367" s="11" t="s">
        <v>228</v>
      </c>
      <c r="H367" s="11" t="s">
        <v>306</v>
      </c>
      <c r="I367" s="10"/>
    </row>
    <row r="368" spans="1:9">
      <c r="A368" s="14" t="s">
        <v>305</v>
      </c>
      <c r="B368" s="198">
        <v>16000</v>
      </c>
      <c r="C368" s="198">
        <v>1</v>
      </c>
      <c r="D368" s="198">
        <v>25</v>
      </c>
      <c r="E368" s="198" t="s">
        <v>210</v>
      </c>
      <c r="F368" s="198" t="s">
        <v>211</v>
      </c>
      <c r="G368" s="198" t="s">
        <v>225</v>
      </c>
      <c r="H368" s="198" t="s">
        <v>304</v>
      </c>
      <c r="I368" s="199"/>
    </row>
    <row r="369" spans="1:9">
      <c r="A369" s="13" t="s">
        <v>303</v>
      </c>
      <c r="B369" s="198"/>
      <c r="C369" s="198"/>
      <c r="D369" s="198"/>
      <c r="E369" s="198"/>
      <c r="F369" s="198"/>
      <c r="G369" s="198"/>
      <c r="H369" s="198"/>
      <c r="I369" s="199"/>
    </row>
    <row r="370" spans="1:9">
      <c r="A370" s="22" t="s">
        <v>302</v>
      </c>
      <c r="B370" s="201">
        <v>18000</v>
      </c>
      <c r="C370" s="201">
        <v>1</v>
      </c>
      <c r="D370" s="201">
        <v>25</v>
      </c>
      <c r="E370" s="201" t="s">
        <v>210</v>
      </c>
      <c r="F370" s="201" t="s">
        <v>211</v>
      </c>
      <c r="G370" s="201" t="s">
        <v>228</v>
      </c>
      <c r="H370" s="201" t="s">
        <v>301</v>
      </c>
      <c r="I370" s="202"/>
    </row>
    <row r="371" spans="1:9">
      <c r="A371" s="21" t="s">
        <v>300</v>
      </c>
      <c r="B371" s="201"/>
      <c r="C371" s="201"/>
      <c r="D371" s="201"/>
      <c r="E371" s="201"/>
      <c r="F371" s="201"/>
      <c r="G371" s="201"/>
      <c r="H371" s="201"/>
      <c r="I371" s="202"/>
    </row>
    <row r="372" spans="1:9" ht="39">
      <c r="A372" s="19" t="s">
        <v>299</v>
      </c>
      <c r="B372" s="198">
        <v>20000</v>
      </c>
      <c r="C372" s="198">
        <v>1</v>
      </c>
      <c r="D372" s="198">
        <v>25</v>
      </c>
      <c r="E372" s="198" t="s">
        <v>283</v>
      </c>
      <c r="F372" s="198" t="s">
        <v>211</v>
      </c>
      <c r="G372" s="198" t="s">
        <v>211</v>
      </c>
      <c r="H372" s="8" t="s">
        <v>298</v>
      </c>
      <c r="I372" s="199"/>
    </row>
    <row r="373" spans="1:9" ht="19.5">
      <c r="A373" s="18" t="s">
        <v>297</v>
      </c>
      <c r="B373" s="198"/>
      <c r="C373" s="198"/>
      <c r="D373" s="198"/>
      <c r="E373" s="198"/>
      <c r="F373" s="198"/>
      <c r="G373" s="198"/>
      <c r="H373" s="8" t="s">
        <v>296</v>
      </c>
      <c r="I373" s="199"/>
    </row>
    <row r="374" spans="1:9" ht="39">
      <c r="A374" s="12" t="s">
        <v>295</v>
      </c>
      <c r="B374" s="11">
        <v>21000</v>
      </c>
      <c r="C374" s="11">
        <v>1</v>
      </c>
      <c r="D374" s="11">
        <v>26</v>
      </c>
      <c r="E374" s="11" t="s">
        <v>229</v>
      </c>
      <c r="F374" s="11" t="s">
        <v>211</v>
      </c>
      <c r="G374" s="11" t="s">
        <v>211</v>
      </c>
      <c r="H374" s="11" t="s">
        <v>294</v>
      </c>
      <c r="I374" s="10"/>
    </row>
    <row r="375" spans="1:9">
      <c r="A375" s="27" t="s">
        <v>293</v>
      </c>
      <c r="B375" s="198">
        <v>24000</v>
      </c>
      <c r="C375" s="198">
        <v>1</v>
      </c>
      <c r="D375" s="198">
        <v>31</v>
      </c>
      <c r="E375" s="198" t="s">
        <v>210</v>
      </c>
      <c r="F375" s="198" t="s">
        <v>211</v>
      </c>
      <c r="G375" s="198" t="s">
        <v>225</v>
      </c>
      <c r="H375" s="198" t="s">
        <v>292</v>
      </c>
      <c r="I375" s="199"/>
    </row>
    <row r="376" spans="1:9">
      <c r="A376" s="26" t="s">
        <v>291</v>
      </c>
      <c r="B376" s="198"/>
      <c r="C376" s="198"/>
      <c r="D376" s="198"/>
      <c r="E376" s="198"/>
      <c r="F376" s="198"/>
      <c r="G376" s="198"/>
      <c r="H376" s="198"/>
      <c r="I376" s="199"/>
    </row>
    <row r="377" spans="1:9" ht="29.25">
      <c r="A377" s="24" t="s">
        <v>290</v>
      </c>
      <c r="B377" s="11">
        <v>26000</v>
      </c>
      <c r="C377" s="11">
        <v>1</v>
      </c>
      <c r="D377" s="11">
        <v>32</v>
      </c>
      <c r="E377" s="11" t="s">
        <v>210</v>
      </c>
      <c r="F377" s="11" t="s">
        <v>211</v>
      </c>
      <c r="G377" s="11" t="s">
        <v>211</v>
      </c>
      <c r="H377" s="11" t="s">
        <v>289</v>
      </c>
      <c r="I377" s="10"/>
    </row>
    <row r="378" spans="1:9" ht="19.5">
      <c r="A378" s="208" t="s">
        <v>288</v>
      </c>
      <c r="B378" s="198">
        <v>31000</v>
      </c>
      <c r="C378" s="198">
        <v>1</v>
      </c>
      <c r="D378" s="198">
        <v>44</v>
      </c>
      <c r="E378" s="198" t="s">
        <v>229</v>
      </c>
      <c r="F378" s="198" t="s">
        <v>211</v>
      </c>
      <c r="G378" s="198" t="s">
        <v>211</v>
      </c>
      <c r="H378" s="8" t="s">
        <v>287</v>
      </c>
      <c r="I378" s="199"/>
    </row>
    <row r="379" spans="1:9" ht="19.5">
      <c r="A379" s="208"/>
      <c r="B379" s="198"/>
      <c r="C379" s="198"/>
      <c r="D379" s="198"/>
      <c r="E379" s="198"/>
      <c r="F379" s="198"/>
      <c r="G379" s="198"/>
      <c r="H379" s="8" t="s">
        <v>286</v>
      </c>
      <c r="I379" s="199"/>
    </row>
    <row r="380" spans="1:9">
      <c r="A380" s="203"/>
      <c r="B380" s="203"/>
      <c r="C380" s="203"/>
      <c r="D380" s="203"/>
      <c r="E380" s="203"/>
      <c r="F380" s="203"/>
      <c r="G380" s="203"/>
      <c r="H380" s="203"/>
      <c r="I380" s="203"/>
    </row>
    <row r="381" spans="1:9">
      <c r="A381" s="203"/>
      <c r="B381" s="203"/>
      <c r="C381" s="203"/>
      <c r="D381" s="203"/>
      <c r="E381" s="203"/>
      <c r="F381" s="203"/>
      <c r="G381" s="203"/>
      <c r="H381" s="203"/>
      <c r="I381" s="203"/>
    </row>
    <row r="382" spans="1:9">
      <c r="A382" s="200" t="s">
        <v>965</v>
      </c>
      <c r="B382" s="200"/>
      <c r="C382" s="200"/>
      <c r="D382" s="200"/>
      <c r="E382" s="200"/>
      <c r="F382" s="200"/>
      <c r="G382" s="200"/>
      <c r="H382" s="200"/>
      <c r="I382" s="200"/>
    </row>
    <row r="383" spans="1:9">
      <c r="A383" s="17" t="s">
        <v>140</v>
      </c>
      <c r="B383" s="17" t="s">
        <v>242</v>
      </c>
      <c r="C383" s="17" t="s">
        <v>241</v>
      </c>
      <c r="D383" s="17" t="s">
        <v>240</v>
      </c>
      <c r="E383" s="17" t="s">
        <v>239</v>
      </c>
      <c r="F383" s="17" t="s">
        <v>238</v>
      </c>
      <c r="G383" s="17" t="s">
        <v>237</v>
      </c>
      <c r="H383" s="17" t="s">
        <v>236</v>
      </c>
      <c r="I383" s="17" t="s">
        <v>235</v>
      </c>
    </row>
    <row r="384" spans="1:9" ht="19.5">
      <c r="A384" s="15" t="s">
        <v>966</v>
      </c>
      <c r="B384" s="201">
        <v>50</v>
      </c>
      <c r="C384" s="201" t="s">
        <v>275</v>
      </c>
      <c r="D384" s="201">
        <v>4</v>
      </c>
      <c r="E384" s="201" t="s">
        <v>210</v>
      </c>
      <c r="F384" s="201" t="s">
        <v>228</v>
      </c>
      <c r="G384" s="201" t="s">
        <v>210</v>
      </c>
      <c r="H384" s="201" t="s">
        <v>210</v>
      </c>
      <c r="I384" s="202"/>
    </row>
    <row r="385" spans="1:9">
      <c r="A385" s="23"/>
      <c r="B385" s="201"/>
      <c r="C385" s="201"/>
      <c r="D385" s="201"/>
      <c r="E385" s="201"/>
      <c r="F385" s="201"/>
      <c r="G385" s="201"/>
      <c r="H385" s="201"/>
      <c r="I385" s="202"/>
    </row>
    <row r="386" spans="1:9">
      <c r="A386" s="15" t="s">
        <v>967</v>
      </c>
      <c r="B386" s="201">
        <v>100</v>
      </c>
      <c r="C386" s="201" t="s">
        <v>275</v>
      </c>
      <c r="D386" s="201">
        <v>7</v>
      </c>
      <c r="E386" s="201" t="s">
        <v>210</v>
      </c>
      <c r="F386" s="201" t="s">
        <v>228</v>
      </c>
      <c r="G386" s="201" t="s">
        <v>210</v>
      </c>
      <c r="H386" s="201" t="s">
        <v>210</v>
      </c>
      <c r="I386" s="202"/>
    </row>
    <row r="387" spans="1:9">
      <c r="A387" s="23" t="s">
        <v>285</v>
      </c>
      <c r="B387" s="201"/>
      <c r="C387" s="201"/>
      <c r="D387" s="201"/>
      <c r="E387" s="201"/>
      <c r="F387" s="201"/>
      <c r="G387" s="201"/>
      <c r="H387" s="201"/>
      <c r="I387" s="202"/>
    </row>
    <row r="388" spans="1:9" ht="29.25">
      <c r="A388" s="16" t="s">
        <v>968</v>
      </c>
      <c r="B388" s="198">
        <v>1200</v>
      </c>
      <c r="C388" s="198" t="s">
        <v>275</v>
      </c>
      <c r="D388" s="198">
        <v>11</v>
      </c>
      <c r="E388" s="198" t="s">
        <v>210</v>
      </c>
      <c r="F388" s="198" t="s">
        <v>228</v>
      </c>
      <c r="G388" s="198" t="s">
        <v>210</v>
      </c>
      <c r="H388" s="198" t="s">
        <v>210</v>
      </c>
      <c r="I388" s="199"/>
    </row>
    <row r="389" spans="1:9">
      <c r="A389" s="25" t="s">
        <v>284</v>
      </c>
      <c r="B389" s="198"/>
      <c r="C389" s="198"/>
      <c r="D389" s="198"/>
      <c r="E389" s="198"/>
      <c r="F389" s="198"/>
      <c r="G389" s="198"/>
      <c r="H389" s="198"/>
      <c r="I389" s="199"/>
    </row>
    <row r="390" spans="1:9" ht="29.25">
      <c r="A390" s="15" t="s">
        <v>969</v>
      </c>
      <c r="B390" s="11">
        <v>4500</v>
      </c>
      <c r="C390" s="11" t="s">
        <v>275</v>
      </c>
      <c r="D390" s="11">
        <v>16</v>
      </c>
      <c r="E390" s="11" t="s">
        <v>210</v>
      </c>
      <c r="F390" s="11" t="s">
        <v>225</v>
      </c>
      <c r="G390" s="11" t="s">
        <v>210</v>
      </c>
      <c r="H390" s="11" t="s">
        <v>210</v>
      </c>
      <c r="I390" s="10"/>
    </row>
    <row r="391" spans="1:9" ht="29.25">
      <c r="A391" s="14" t="s">
        <v>970</v>
      </c>
      <c r="B391" s="198">
        <v>7000</v>
      </c>
      <c r="C391" s="198" t="s">
        <v>275</v>
      </c>
      <c r="D391" s="198">
        <v>17</v>
      </c>
      <c r="E391" s="198" t="s">
        <v>283</v>
      </c>
      <c r="F391" s="198" t="s">
        <v>211</v>
      </c>
      <c r="G391" s="198" t="s">
        <v>228</v>
      </c>
      <c r="H391" s="198" t="s">
        <v>282</v>
      </c>
      <c r="I391" s="199"/>
    </row>
    <row r="392" spans="1:9">
      <c r="A392" s="13" t="s">
        <v>281</v>
      </c>
      <c r="B392" s="198"/>
      <c r="C392" s="198"/>
      <c r="D392" s="198"/>
      <c r="E392" s="198"/>
      <c r="F392" s="198"/>
      <c r="G392" s="198"/>
      <c r="H392" s="198"/>
      <c r="I392" s="199"/>
    </row>
    <row r="393" spans="1:9" ht="29.25">
      <c r="A393" s="137" t="s">
        <v>971</v>
      </c>
      <c r="B393" s="201">
        <v>8800</v>
      </c>
      <c r="C393" s="201" t="s">
        <v>275</v>
      </c>
      <c r="D393" s="201">
        <v>17</v>
      </c>
      <c r="E393" s="201" t="s">
        <v>210</v>
      </c>
      <c r="F393" s="201" t="s">
        <v>211</v>
      </c>
      <c r="G393" s="201" t="s">
        <v>210</v>
      </c>
      <c r="H393" s="201" t="s">
        <v>280</v>
      </c>
      <c r="I393" s="202"/>
    </row>
    <row r="394" spans="1:9">
      <c r="A394" s="21" t="s">
        <v>279</v>
      </c>
      <c r="B394" s="201"/>
      <c r="C394" s="201"/>
      <c r="D394" s="201"/>
      <c r="E394" s="201"/>
      <c r="F394" s="201"/>
      <c r="G394" s="201"/>
      <c r="H394" s="201"/>
      <c r="I394" s="202"/>
    </row>
    <row r="395" spans="1:9" ht="29.25">
      <c r="A395" s="14" t="s">
        <v>972</v>
      </c>
      <c r="B395" s="198">
        <v>9800</v>
      </c>
      <c r="C395" s="198" t="s">
        <v>278</v>
      </c>
      <c r="D395" s="198">
        <v>16</v>
      </c>
      <c r="E395" s="198" t="s">
        <v>277</v>
      </c>
      <c r="F395" s="198" t="s">
        <v>211</v>
      </c>
      <c r="G395" s="198" t="s">
        <v>210</v>
      </c>
      <c r="H395" s="198" t="s">
        <v>210</v>
      </c>
      <c r="I395" s="199"/>
    </row>
    <row r="396" spans="1:9">
      <c r="A396" s="13" t="s">
        <v>276</v>
      </c>
      <c r="B396" s="198"/>
      <c r="C396" s="198"/>
      <c r="D396" s="198"/>
      <c r="E396" s="198"/>
      <c r="F396" s="198"/>
      <c r="G396" s="198"/>
      <c r="H396" s="198"/>
      <c r="I396" s="199"/>
    </row>
    <row r="397" spans="1:9" ht="29.25">
      <c r="A397" s="136" t="s">
        <v>973</v>
      </c>
      <c r="B397" s="11">
        <v>11000</v>
      </c>
      <c r="C397" s="11" t="s">
        <v>275</v>
      </c>
      <c r="D397" s="11">
        <v>24</v>
      </c>
      <c r="E397" s="11" t="s">
        <v>210</v>
      </c>
      <c r="F397" s="11" t="s">
        <v>211</v>
      </c>
      <c r="G397" s="11" t="s">
        <v>210</v>
      </c>
      <c r="H397" s="11" t="s">
        <v>274</v>
      </c>
      <c r="I397" s="10"/>
    </row>
    <row r="398" spans="1:9">
      <c r="A398" s="203"/>
      <c r="B398" s="203"/>
      <c r="C398" s="203"/>
      <c r="D398" s="203"/>
      <c r="E398" s="203"/>
      <c r="F398" s="203"/>
      <c r="G398" s="203"/>
      <c r="H398" s="203"/>
      <c r="I398" s="203"/>
    </row>
    <row r="399" spans="1:9">
      <c r="A399" s="203"/>
      <c r="B399" s="203"/>
      <c r="C399" s="203"/>
      <c r="D399" s="203"/>
      <c r="E399" s="203"/>
      <c r="F399" s="203"/>
      <c r="G399" s="203"/>
      <c r="H399" s="203"/>
      <c r="I399" s="203"/>
    </row>
    <row r="400" spans="1:9">
      <c r="A400" s="200" t="s">
        <v>273</v>
      </c>
      <c r="B400" s="200"/>
      <c r="C400" s="200"/>
      <c r="D400" s="200"/>
      <c r="E400" s="200"/>
      <c r="F400" s="200"/>
      <c r="G400" s="200"/>
      <c r="H400" s="200"/>
      <c r="I400" s="200"/>
    </row>
    <row r="401" spans="1:9">
      <c r="A401" s="17" t="s">
        <v>140</v>
      </c>
      <c r="B401" s="17" t="s">
        <v>242</v>
      </c>
      <c r="C401" s="17" t="s">
        <v>241</v>
      </c>
      <c r="D401" s="17" t="s">
        <v>240</v>
      </c>
      <c r="E401" s="17" t="s">
        <v>239</v>
      </c>
      <c r="F401" s="17" t="s">
        <v>238</v>
      </c>
      <c r="G401" s="17" t="s">
        <v>237</v>
      </c>
      <c r="H401" s="17" t="s">
        <v>236</v>
      </c>
      <c r="I401" s="17" t="s">
        <v>235</v>
      </c>
    </row>
    <row r="402" spans="1:9" ht="15.75">
      <c r="A402" s="15" t="s">
        <v>272</v>
      </c>
      <c r="B402" s="11">
        <v>40</v>
      </c>
      <c r="C402" s="11">
        <v>1</v>
      </c>
      <c r="D402" s="11">
        <v>3</v>
      </c>
      <c r="E402" s="11" t="s">
        <v>210</v>
      </c>
      <c r="F402" s="11" t="s">
        <v>228</v>
      </c>
      <c r="G402" s="11" t="s">
        <v>228</v>
      </c>
      <c r="H402" s="11" t="s">
        <v>210</v>
      </c>
      <c r="I402" s="10"/>
    </row>
    <row r="403" spans="1:9" ht="15.75">
      <c r="A403" s="15" t="s">
        <v>271</v>
      </c>
      <c r="B403" s="11">
        <v>80</v>
      </c>
      <c r="C403" s="11">
        <v>1</v>
      </c>
      <c r="D403" s="11">
        <v>5</v>
      </c>
      <c r="E403" s="11" t="s">
        <v>210</v>
      </c>
      <c r="F403" s="11" t="s">
        <v>228</v>
      </c>
      <c r="G403" s="11" t="s">
        <v>228</v>
      </c>
      <c r="H403" s="11" t="s">
        <v>210</v>
      </c>
      <c r="I403" s="10"/>
    </row>
    <row r="404" spans="1:9" ht="19.5">
      <c r="A404" s="16" t="s">
        <v>270</v>
      </c>
      <c r="B404" s="8">
        <v>900</v>
      </c>
      <c r="C404" s="8">
        <v>1</v>
      </c>
      <c r="D404" s="8">
        <v>10</v>
      </c>
      <c r="E404" s="8" t="s">
        <v>210</v>
      </c>
      <c r="F404" s="8" t="s">
        <v>228</v>
      </c>
      <c r="G404" s="8" t="s">
        <v>225</v>
      </c>
      <c r="H404" s="8" t="s">
        <v>269</v>
      </c>
      <c r="I404" s="7"/>
    </row>
    <row r="405" spans="1:9">
      <c r="A405" s="15" t="s">
        <v>268</v>
      </c>
      <c r="B405" s="201">
        <v>3200</v>
      </c>
      <c r="C405" s="201">
        <v>1</v>
      </c>
      <c r="D405" s="201">
        <v>17</v>
      </c>
      <c r="E405" s="201" t="s">
        <v>210</v>
      </c>
      <c r="F405" s="201" t="s">
        <v>225</v>
      </c>
      <c r="G405" s="201" t="s">
        <v>211</v>
      </c>
      <c r="H405" s="201" t="s">
        <v>267</v>
      </c>
      <c r="I405" s="202"/>
    </row>
    <row r="406" spans="1:9">
      <c r="A406" s="23" t="s">
        <v>266</v>
      </c>
      <c r="B406" s="201"/>
      <c r="C406" s="201"/>
      <c r="D406" s="201"/>
      <c r="E406" s="201"/>
      <c r="F406" s="201"/>
      <c r="G406" s="201"/>
      <c r="H406" s="201"/>
      <c r="I406" s="202"/>
    </row>
    <row r="407" spans="1:9">
      <c r="A407" s="14" t="s">
        <v>265</v>
      </c>
      <c r="B407" s="198">
        <v>11000</v>
      </c>
      <c r="C407" s="198">
        <v>1</v>
      </c>
      <c r="D407" s="198">
        <v>18</v>
      </c>
      <c r="E407" s="198" t="s">
        <v>210</v>
      </c>
      <c r="F407" s="198" t="s">
        <v>211</v>
      </c>
      <c r="G407" s="198" t="s">
        <v>211</v>
      </c>
      <c r="H407" s="198" t="s">
        <v>264</v>
      </c>
      <c r="I407" s="199"/>
    </row>
    <row r="408" spans="1:9">
      <c r="A408" s="13" t="s">
        <v>263</v>
      </c>
      <c r="B408" s="198"/>
      <c r="C408" s="198"/>
      <c r="D408" s="198"/>
      <c r="E408" s="198"/>
      <c r="F408" s="198"/>
      <c r="G408" s="198"/>
      <c r="H408" s="198"/>
      <c r="I408" s="199"/>
    </row>
    <row r="409" spans="1:9">
      <c r="A409" s="22" t="s">
        <v>262</v>
      </c>
      <c r="B409" s="201">
        <v>15000</v>
      </c>
      <c r="C409" s="201">
        <v>1</v>
      </c>
      <c r="D409" s="201">
        <v>17</v>
      </c>
      <c r="E409" s="201" t="s">
        <v>210</v>
      </c>
      <c r="F409" s="201" t="s">
        <v>211</v>
      </c>
      <c r="G409" s="201" t="s">
        <v>211</v>
      </c>
      <c r="H409" s="201" t="s">
        <v>261</v>
      </c>
      <c r="I409" s="202"/>
    </row>
    <row r="410" spans="1:9">
      <c r="A410" s="21" t="s">
        <v>260</v>
      </c>
      <c r="B410" s="201"/>
      <c r="C410" s="201"/>
      <c r="D410" s="201"/>
      <c r="E410" s="201"/>
      <c r="F410" s="201"/>
      <c r="G410" s="201"/>
      <c r="H410" s="201"/>
      <c r="I410" s="202"/>
    </row>
    <row r="411" spans="1:9" ht="29.25">
      <c r="A411" s="14" t="s">
        <v>259</v>
      </c>
      <c r="B411" s="8">
        <v>16000</v>
      </c>
      <c r="C411" s="8">
        <v>1</v>
      </c>
      <c r="D411" s="8">
        <v>19</v>
      </c>
      <c r="E411" s="8" t="s">
        <v>210</v>
      </c>
      <c r="F411" s="8" t="s">
        <v>211</v>
      </c>
      <c r="G411" s="8" t="s">
        <v>211</v>
      </c>
      <c r="H411" s="8" t="s">
        <v>258</v>
      </c>
      <c r="I411" s="7"/>
    </row>
    <row r="412" spans="1:9">
      <c r="A412" s="12" t="s">
        <v>257</v>
      </c>
      <c r="B412" s="201">
        <v>15000</v>
      </c>
      <c r="C412" s="201">
        <v>1</v>
      </c>
      <c r="D412" s="201">
        <v>19</v>
      </c>
      <c r="E412" s="201" t="s">
        <v>210</v>
      </c>
      <c r="F412" s="201" t="s">
        <v>211</v>
      </c>
      <c r="G412" s="201" t="s">
        <v>211</v>
      </c>
      <c r="H412" s="201" t="s">
        <v>256</v>
      </c>
      <c r="I412" s="202"/>
    </row>
    <row r="413" spans="1:9">
      <c r="A413" s="20" t="s">
        <v>255</v>
      </c>
      <c r="B413" s="201"/>
      <c r="C413" s="201"/>
      <c r="D413" s="201"/>
      <c r="E413" s="201"/>
      <c r="F413" s="201"/>
      <c r="G413" s="201"/>
      <c r="H413" s="201"/>
      <c r="I413" s="202"/>
    </row>
    <row r="414" spans="1:9">
      <c r="A414" s="19" t="s">
        <v>254</v>
      </c>
      <c r="B414" s="198">
        <v>20000</v>
      </c>
      <c r="C414" s="198">
        <v>1</v>
      </c>
      <c r="D414" s="198">
        <v>18</v>
      </c>
      <c r="E414" s="198" t="s">
        <v>210</v>
      </c>
      <c r="F414" s="198" t="s">
        <v>211</v>
      </c>
      <c r="G414" s="198" t="s">
        <v>211</v>
      </c>
      <c r="H414" s="198" t="s">
        <v>253</v>
      </c>
      <c r="I414" s="199"/>
    </row>
    <row r="415" spans="1:9">
      <c r="A415" s="18" t="s">
        <v>252</v>
      </c>
      <c r="B415" s="198"/>
      <c r="C415" s="198"/>
      <c r="D415" s="198"/>
      <c r="E415" s="198"/>
      <c r="F415" s="198"/>
      <c r="G415" s="198"/>
      <c r="H415" s="198"/>
      <c r="I415" s="199"/>
    </row>
    <row r="416" spans="1:9" ht="29.25">
      <c r="A416" s="12" t="s">
        <v>251</v>
      </c>
      <c r="B416" s="11">
        <v>24000</v>
      </c>
      <c r="C416" s="11">
        <v>1</v>
      </c>
      <c r="D416" s="11">
        <v>18</v>
      </c>
      <c r="E416" s="11" t="s">
        <v>210</v>
      </c>
      <c r="F416" s="11" t="s">
        <v>211</v>
      </c>
      <c r="G416" s="11" t="s">
        <v>211</v>
      </c>
      <c r="H416" s="11" t="s">
        <v>250</v>
      </c>
      <c r="I416" s="10"/>
    </row>
    <row r="417" spans="1:9" ht="29.25">
      <c r="A417" s="208" t="s">
        <v>249</v>
      </c>
      <c r="B417" s="198">
        <v>22000</v>
      </c>
      <c r="C417" s="198">
        <v>1</v>
      </c>
      <c r="D417" s="198">
        <v>19</v>
      </c>
      <c r="E417" s="198" t="s">
        <v>210</v>
      </c>
      <c r="F417" s="198" t="s">
        <v>211</v>
      </c>
      <c r="G417" s="198" t="s">
        <v>211</v>
      </c>
      <c r="H417" s="8" t="s">
        <v>248</v>
      </c>
      <c r="I417" s="199"/>
    </row>
    <row r="418" spans="1:9" ht="19.5">
      <c r="A418" s="208"/>
      <c r="B418" s="198"/>
      <c r="C418" s="198"/>
      <c r="D418" s="198"/>
      <c r="E418" s="198"/>
      <c r="F418" s="198"/>
      <c r="G418" s="198"/>
      <c r="H418" s="8" t="s">
        <v>247</v>
      </c>
      <c r="I418" s="199"/>
    </row>
    <row r="419" spans="1:9" ht="29.25">
      <c r="A419" s="206" t="s">
        <v>246</v>
      </c>
      <c r="B419" s="201">
        <v>18000</v>
      </c>
      <c r="C419" s="201">
        <v>1</v>
      </c>
      <c r="D419" s="201">
        <v>20</v>
      </c>
      <c r="E419" s="201" t="s">
        <v>210</v>
      </c>
      <c r="F419" s="201" t="s">
        <v>211</v>
      </c>
      <c r="G419" s="201" t="s">
        <v>211</v>
      </c>
      <c r="H419" s="11" t="s">
        <v>245</v>
      </c>
      <c r="I419" s="202"/>
    </row>
    <row r="420" spans="1:9" ht="39">
      <c r="A420" s="206"/>
      <c r="B420" s="201"/>
      <c r="C420" s="201"/>
      <c r="D420" s="201"/>
      <c r="E420" s="201"/>
      <c r="F420" s="201"/>
      <c r="G420" s="201"/>
      <c r="H420" s="11" t="s">
        <v>244</v>
      </c>
      <c r="I420" s="202"/>
    </row>
    <row r="421" spans="1:9">
      <c r="A421" s="203"/>
      <c r="B421" s="203"/>
      <c r="C421" s="203"/>
      <c r="D421" s="203"/>
      <c r="E421" s="203"/>
      <c r="F421" s="203"/>
      <c r="G421" s="203"/>
      <c r="H421" s="203"/>
      <c r="I421" s="203"/>
    </row>
    <row r="422" spans="1:9">
      <c r="A422" s="203"/>
      <c r="B422" s="203"/>
      <c r="C422" s="203"/>
      <c r="D422" s="203"/>
      <c r="E422" s="203"/>
      <c r="F422" s="203"/>
      <c r="G422" s="203"/>
      <c r="H422" s="203"/>
      <c r="I422" s="203"/>
    </row>
    <row r="423" spans="1:9">
      <c r="A423" s="200" t="s">
        <v>243</v>
      </c>
      <c r="B423" s="200"/>
      <c r="C423" s="200"/>
      <c r="D423" s="200"/>
      <c r="E423" s="200"/>
      <c r="F423" s="200"/>
      <c r="G423" s="200"/>
      <c r="H423" s="200"/>
      <c r="I423" s="200"/>
    </row>
    <row r="424" spans="1:9">
      <c r="A424" s="17" t="s">
        <v>140</v>
      </c>
      <c r="B424" s="17" t="s">
        <v>242</v>
      </c>
      <c r="C424" s="17" t="s">
        <v>241</v>
      </c>
      <c r="D424" s="17" t="s">
        <v>240</v>
      </c>
      <c r="E424" s="17" t="s">
        <v>239</v>
      </c>
      <c r="F424" s="17" t="s">
        <v>238</v>
      </c>
      <c r="G424" s="17" t="s">
        <v>237</v>
      </c>
      <c r="H424" s="17" t="s">
        <v>236</v>
      </c>
      <c r="I424" s="17" t="s">
        <v>235</v>
      </c>
    </row>
    <row r="425" spans="1:9" ht="19.5">
      <c r="A425" s="15" t="s">
        <v>234</v>
      </c>
      <c r="B425" s="11">
        <v>200</v>
      </c>
      <c r="C425" s="11">
        <v>1</v>
      </c>
      <c r="D425" s="11">
        <v>3</v>
      </c>
      <c r="E425" s="11" t="s">
        <v>210</v>
      </c>
      <c r="F425" s="11" t="s">
        <v>228</v>
      </c>
      <c r="G425" s="11" t="s">
        <v>210</v>
      </c>
      <c r="H425" s="11" t="s">
        <v>233</v>
      </c>
      <c r="I425" s="10"/>
    </row>
    <row r="426" spans="1:9" ht="19.5">
      <c r="A426" s="15" t="s">
        <v>232</v>
      </c>
      <c r="B426" s="11">
        <v>400</v>
      </c>
      <c r="C426" s="11">
        <v>1</v>
      </c>
      <c r="D426" s="11">
        <v>5</v>
      </c>
      <c r="E426" s="11" t="s">
        <v>210</v>
      </c>
      <c r="F426" s="11" t="s">
        <v>228</v>
      </c>
      <c r="G426" s="11" t="s">
        <v>210</v>
      </c>
      <c r="H426" s="11" t="s">
        <v>231</v>
      </c>
      <c r="I426" s="10"/>
    </row>
    <row r="427" spans="1:9" ht="19.5">
      <c r="A427" s="16" t="s">
        <v>230</v>
      </c>
      <c r="B427" s="8">
        <v>3000</v>
      </c>
      <c r="C427" s="8">
        <v>1</v>
      </c>
      <c r="D427" s="8">
        <v>11</v>
      </c>
      <c r="E427" s="8" t="s">
        <v>229</v>
      </c>
      <c r="F427" s="8" t="s">
        <v>228</v>
      </c>
      <c r="G427" s="8" t="s">
        <v>210</v>
      </c>
      <c r="H427" s="8" t="s">
        <v>227</v>
      </c>
      <c r="I427" s="7"/>
    </row>
    <row r="428" spans="1:9" ht="19.5">
      <c r="A428" s="15" t="s">
        <v>226</v>
      </c>
      <c r="B428" s="11">
        <v>10000</v>
      </c>
      <c r="C428" s="11">
        <v>1</v>
      </c>
      <c r="D428" s="11">
        <v>18</v>
      </c>
      <c r="E428" s="11" t="s">
        <v>210</v>
      </c>
      <c r="F428" s="11" t="s">
        <v>225</v>
      </c>
      <c r="G428" s="11" t="s">
        <v>210</v>
      </c>
      <c r="H428" s="11" t="s">
        <v>224</v>
      </c>
      <c r="I428" s="10"/>
    </row>
    <row r="429" spans="1:9">
      <c r="A429" s="14" t="s">
        <v>223</v>
      </c>
      <c r="B429" s="198">
        <v>13000</v>
      </c>
      <c r="C429" s="198">
        <v>1</v>
      </c>
      <c r="D429" s="198">
        <v>22</v>
      </c>
      <c r="E429" s="198" t="s">
        <v>210</v>
      </c>
      <c r="F429" s="198" t="s">
        <v>211</v>
      </c>
      <c r="G429" s="198" t="s">
        <v>210</v>
      </c>
      <c r="H429" s="198" t="s">
        <v>222</v>
      </c>
      <c r="I429" s="199"/>
    </row>
    <row r="430" spans="1:9">
      <c r="A430" s="13" t="s">
        <v>221</v>
      </c>
      <c r="B430" s="198"/>
      <c r="C430" s="198"/>
      <c r="D430" s="198"/>
      <c r="E430" s="198"/>
      <c r="F430" s="198"/>
      <c r="G430" s="198"/>
      <c r="H430" s="198"/>
      <c r="I430" s="199"/>
    </row>
    <row r="431" spans="1:9" ht="29.25">
      <c r="A431" s="207" t="s">
        <v>220</v>
      </c>
      <c r="B431" s="201">
        <v>15000</v>
      </c>
      <c r="C431" s="201">
        <v>1</v>
      </c>
      <c r="D431" s="201">
        <v>21</v>
      </c>
      <c r="E431" s="201" t="s">
        <v>210</v>
      </c>
      <c r="F431" s="201" t="s">
        <v>211</v>
      </c>
      <c r="G431" s="201" t="s">
        <v>210</v>
      </c>
      <c r="H431" s="11" t="s">
        <v>219</v>
      </c>
      <c r="I431" s="202"/>
    </row>
    <row r="432" spans="1:9" ht="19.5">
      <c r="A432" s="207"/>
      <c r="B432" s="201"/>
      <c r="C432" s="201"/>
      <c r="D432" s="201"/>
      <c r="E432" s="201"/>
      <c r="F432" s="201"/>
      <c r="G432" s="201"/>
      <c r="H432" s="11" t="s">
        <v>218</v>
      </c>
      <c r="I432" s="202"/>
    </row>
    <row r="433" spans="1:9">
      <c r="A433" s="14" t="s">
        <v>217</v>
      </c>
      <c r="B433" s="198">
        <v>16000</v>
      </c>
      <c r="C433" s="198">
        <v>1</v>
      </c>
      <c r="D433" s="198">
        <v>21</v>
      </c>
      <c r="E433" s="198" t="s">
        <v>210</v>
      </c>
      <c r="F433" s="198" t="s">
        <v>211</v>
      </c>
      <c r="G433" s="198" t="s">
        <v>210</v>
      </c>
      <c r="H433" s="198" t="s">
        <v>216</v>
      </c>
      <c r="I433" s="199"/>
    </row>
    <row r="434" spans="1:9">
      <c r="A434" s="13" t="s">
        <v>215</v>
      </c>
      <c r="B434" s="198"/>
      <c r="C434" s="198"/>
      <c r="D434" s="198"/>
      <c r="E434" s="198"/>
      <c r="F434" s="198"/>
      <c r="G434" s="198"/>
      <c r="H434" s="198"/>
      <c r="I434" s="199"/>
    </row>
    <row r="435" spans="1:9" ht="39">
      <c r="A435" s="12" t="s">
        <v>214</v>
      </c>
      <c r="B435" s="11">
        <v>17000</v>
      </c>
      <c r="C435" s="11">
        <v>1</v>
      </c>
      <c r="D435" s="11">
        <v>22</v>
      </c>
      <c r="E435" s="11" t="s">
        <v>210</v>
      </c>
      <c r="F435" s="11" t="s">
        <v>211</v>
      </c>
      <c r="G435" s="11" t="s">
        <v>210</v>
      </c>
      <c r="H435" s="11" t="s">
        <v>213</v>
      </c>
      <c r="I435" s="10"/>
    </row>
    <row r="436" spans="1:9" ht="58.5">
      <c r="A436" s="9" t="s">
        <v>212</v>
      </c>
      <c r="B436" s="8">
        <v>18000</v>
      </c>
      <c r="C436" s="8">
        <v>1</v>
      </c>
      <c r="D436" s="8">
        <v>28</v>
      </c>
      <c r="E436" s="8" t="s">
        <v>210</v>
      </c>
      <c r="F436" s="8" t="s">
        <v>211</v>
      </c>
      <c r="G436" s="8" t="s">
        <v>210</v>
      </c>
      <c r="H436" s="8" t="s">
        <v>209</v>
      </c>
      <c r="I436" s="7"/>
    </row>
  </sheetData>
  <mergeCells count="1012">
    <mergeCell ref="B24:B25"/>
    <mergeCell ref="C24:C25"/>
    <mergeCell ref="D24:D25"/>
    <mergeCell ref="E24:E25"/>
    <mergeCell ref="F24:F25"/>
    <mergeCell ref="G24:G25"/>
    <mergeCell ref="A2:D2"/>
    <mergeCell ref="A9:D9"/>
    <mergeCell ref="F28:F29"/>
    <mergeCell ref="G28:G29"/>
    <mergeCell ref="I24:I25"/>
    <mergeCell ref="B26:B27"/>
    <mergeCell ref="C26:C27"/>
    <mergeCell ref="D26:D27"/>
    <mergeCell ref="E26:E27"/>
    <mergeCell ref="F26:F27"/>
    <mergeCell ref="G26:G27"/>
    <mergeCell ref="I26:I27"/>
    <mergeCell ref="A17:I17"/>
    <mergeCell ref="B22:B23"/>
    <mergeCell ref="C22:C23"/>
    <mergeCell ref="D22:D23"/>
    <mergeCell ref="E22:E23"/>
    <mergeCell ref="F22:F23"/>
    <mergeCell ref="G22:G23"/>
    <mergeCell ref="H22:H23"/>
    <mergeCell ref="I22:I23"/>
    <mergeCell ref="H24:H25"/>
    <mergeCell ref="I32:I33"/>
    <mergeCell ref="I28:I29"/>
    <mergeCell ref="B30:B31"/>
    <mergeCell ref="C30:C31"/>
    <mergeCell ref="D30:D31"/>
    <mergeCell ref="E30:E31"/>
    <mergeCell ref="F30:F31"/>
    <mergeCell ref="G30:G31"/>
    <mergeCell ref="H30:H31"/>
    <mergeCell ref="I30:I31"/>
    <mergeCell ref="B32:B33"/>
    <mergeCell ref="C32:C33"/>
    <mergeCell ref="D32:D33"/>
    <mergeCell ref="F32:F33"/>
    <mergeCell ref="G32:G33"/>
    <mergeCell ref="B28:B29"/>
    <mergeCell ref="C28:C29"/>
    <mergeCell ref="D28:D29"/>
    <mergeCell ref="E28:E29"/>
    <mergeCell ref="I48:I49"/>
    <mergeCell ref="G36:G37"/>
    <mergeCell ref="I36:I37"/>
    <mergeCell ref="A34:A35"/>
    <mergeCell ref="B34:B35"/>
    <mergeCell ref="C34:C35"/>
    <mergeCell ref="D34:D35"/>
    <mergeCell ref="E34:E35"/>
    <mergeCell ref="F34:F35"/>
    <mergeCell ref="G42:G43"/>
    <mergeCell ref="H42:H43"/>
    <mergeCell ref="G34:G35"/>
    <mergeCell ref="I34:I35"/>
    <mergeCell ref="A36:A37"/>
    <mergeCell ref="B36:B37"/>
    <mergeCell ref="C36:C37"/>
    <mergeCell ref="D36:D37"/>
    <mergeCell ref="E36:E37"/>
    <mergeCell ref="F36:F37"/>
    <mergeCell ref="A38:I38"/>
    <mergeCell ref="A39:I39"/>
    <mergeCell ref="A40:I40"/>
    <mergeCell ref="B42:B43"/>
    <mergeCell ref="C42:C43"/>
    <mergeCell ref="D42:D43"/>
    <mergeCell ref="E42:E43"/>
    <mergeCell ref="F42:F43"/>
    <mergeCell ref="B56:B57"/>
    <mergeCell ref="C56:C57"/>
    <mergeCell ref="D56:D57"/>
    <mergeCell ref="E56:E57"/>
    <mergeCell ref="F56:F57"/>
    <mergeCell ref="G56:G57"/>
    <mergeCell ref="H56:H57"/>
    <mergeCell ref="I56:I57"/>
    <mergeCell ref="I42:I43"/>
    <mergeCell ref="B44:B45"/>
    <mergeCell ref="C44:C45"/>
    <mergeCell ref="D44:D45"/>
    <mergeCell ref="E44:E45"/>
    <mergeCell ref="F44:F45"/>
    <mergeCell ref="G44:G45"/>
    <mergeCell ref="H44:H45"/>
    <mergeCell ref="I44:I45"/>
    <mergeCell ref="B46:B47"/>
    <mergeCell ref="C46:C47"/>
    <mergeCell ref="D46:D47"/>
    <mergeCell ref="E46:E47"/>
    <mergeCell ref="F46:F47"/>
    <mergeCell ref="G46:G47"/>
    <mergeCell ref="H46:H47"/>
    <mergeCell ref="I46:I47"/>
    <mergeCell ref="B48:B49"/>
    <mergeCell ref="C48:C49"/>
    <mergeCell ref="D48:D49"/>
    <mergeCell ref="E48:E49"/>
    <mergeCell ref="F48:F49"/>
    <mergeCell ref="G48:G49"/>
    <mergeCell ref="H48:H49"/>
    <mergeCell ref="B50:B51"/>
    <mergeCell ref="C50:C51"/>
    <mergeCell ref="D50:D51"/>
    <mergeCell ref="E50:E51"/>
    <mergeCell ref="F50:F51"/>
    <mergeCell ref="G50:G51"/>
    <mergeCell ref="H50:H51"/>
    <mergeCell ref="I50:I51"/>
    <mergeCell ref="B52:B53"/>
    <mergeCell ref="C52:C53"/>
    <mergeCell ref="D52:D53"/>
    <mergeCell ref="E52:E53"/>
    <mergeCell ref="F52:F53"/>
    <mergeCell ref="G52:G53"/>
    <mergeCell ref="H52:H53"/>
    <mergeCell ref="I52:I53"/>
    <mergeCell ref="B54:B55"/>
    <mergeCell ref="C54:C55"/>
    <mergeCell ref="D54:D55"/>
    <mergeCell ref="E54:E55"/>
    <mergeCell ref="F54:F55"/>
    <mergeCell ref="G54:G55"/>
    <mergeCell ref="H54:H55"/>
    <mergeCell ref="I54:I55"/>
    <mergeCell ref="A59:I59"/>
    <mergeCell ref="A60:I60"/>
    <mergeCell ref="A61:I61"/>
    <mergeCell ref="B63:B64"/>
    <mergeCell ref="C63:C64"/>
    <mergeCell ref="D63:D64"/>
    <mergeCell ref="E63:E64"/>
    <mergeCell ref="F63:F64"/>
    <mergeCell ref="G63:G64"/>
    <mergeCell ref="H63:H64"/>
    <mergeCell ref="I63:I64"/>
    <mergeCell ref="B69:B70"/>
    <mergeCell ref="C69:C70"/>
    <mergeCell ref="D69:D70"/>
    <mergeCell ref="E69:E70"/>
    <mergeCell ref="F69:F70"/>
    <mergeCell ref="G69:G70"/>
    <mergeCell ref="H69:H70"/>
    <mergeCell ref="I69:I70"/>
    <mergeCell ref="D71:D72"/>
    <mergeCell ref="E71:E72"/>
    <mergeCell ref="F71:F72"/>
    <mergeCell ref="G71:G72"/>
    <mergeCell ref="A77:I77"/>
    <mergeCell ref="A78:I78"/>
    <mergeCell ref="H71:H72"/>
    <mergeCell ref="I71:I72"/>
    <mergeCell ref="B74:B75"/>
    <mergeCell ref="C74:C75"/>
    <mergeCell ref="D74:D75"/>
    <mergeCell ref="E74:E75"/>
    <mergeCell ref="F74:F75"/>
    <mergeCell ref="G74:G75"/>
    <mergeCell ref="I86:I87"/>
    <mergeCell ref="A95:I95"/>
    <mergeCell ref="A96:I96"/>
    <mergeCell ref="A79:I79"/>
    <mergeCell ref="A80:I80"/>
    <mergeCell ref="A81:I81"/>
    <mergeCell ref="B86:B87"/>
    <mergeCell ref="C86:C87"/>
    <mergeCell ref="D86:D87"/>
    <mergeCell ref="E86:E87"/>
    <mergeCell ref="F86:F87"/>
    <mergeCell ref="G86:G87"/>
    <mergeCell ref="H86:H87"/>
    <mergeCell ref="I74:I75"/>
    <mergeCell ref="B71:B72"/>
    <mergeCell ref="C71:C72"/>
    <mergeCell ref="A97:I97"/>
    <mergeCell ref="B99:B100"/>
    <mergeCell ref="C99:C100"/>
    <mergeCell ref="D99:D100"/>
    <mergeCell ref="E99:E100"/>
    <mergeCell ref="F99:F100"/>
    <mergeCell ref="G99:G100"/>
    <mergeCell ref="H99:H100"/>
    <mergeCell ref="I99:I100"/>
    <mergeCell ref="B101:B102"/>
    <mergeCell ref="C101:C102"/>
    <mergeCell ref="D101:D102"/>
    <mergeCell ref="E101:E102"/>
    <mergeCell ref="F101:F102"/>
    <mergeCell ref="G101:G102"/>
    <mergeCell ref="H101:H102"/>
    <mergeCell ref="G122:G123"/>
    <mergeCell ref="H122:H123"/>
    <mergeCell ref="I122:I123"/>
    <mergeCell ref="I101:I102"/>
    <mergeCell ref="B108:B109"/>
    <mergeCell ref="C108:C109"/>
    <mergeCell ref="D108:D109"/>
    <mergeCell ref="E108:E109"/>
    <mergeCell ref="F108:F109"/>
    <mergeCell ref="G108:G109"/>
    <mergeCell ref="H108:H109"/>
    <mergeCell ref="I108:I109"/>
    <mergeCell ref="A110:A111"/>
    <mergeCell ref="B110:B111"/>
    <mergeCell ref="C110:C111"/>
    <mergeCell ref="D110:D111"/>
    <mergeCell ref="E110:E111"/>
    <mergeCell ref="F110:F111"/>
    <mergeCell ref="G110:G111"/>
    <mergeCell ref="I110:I111"/>
    <mergeCell ref="A112:A113"/>
    <mergeCell ref="B112:B113"/>
    <mergeCell ref="C112:C113"/>
    <mergeCell ref="D112:D113"/>
    <mergeCell ref="E112:E113"/>
    <mergeCell ref="F112:F113"/>
    <mergeCell ref="G112:G113"/>
    <mergeCell ref="I112:I113"/>
    <mergeCell ref="A128:A130"/>
    <mergeCell ref="B128:B130"/>
    <mergeCell ref="C128:C130"/>
    <mergeCell ref="D128:D130"/>
    <mergeCell ref="E128:E130"/>
    <mergeCell ref="F128:F130"/>
    <mergeCell ref="G128:G130"/>
    <mergeCell ref="I128:I130"/>
    <mergeCell ref="A132:A133"/>
    <mergeCell ref="B132:B133"/>
    <mergeCell ref="C132:C133"/>
    <mergeCell ref="D132:D133"/>
    <mergeCell ref="E132:E133"/>
    <mergeCell ref="F132:F133"/>
    <mergeCell ref="G132:G133"/>
    <mergeCell ref="I132:I133"/>
    <mergeCell ref="A114:I114"/>
    <mergeCell ref="A115:I115"/>
    <mergeCell ref="A116:I116"/>
    <mergeCell ref="B120:B121"/>
    <mergeCell ref="C120:C121"/>
    <mergeCell ref="D120:D121"/>
    <mergeCell ref="E120:E121"/>
    <mergeCell ref="F120:F121"/>
    <mergeCell ref="G120:G121"/>
    <mergeCell ref="H120:H121"/>
    <mergeCell ref="I120:I121"/>
    <mergeCell ref="B122:B123"/>
    <mergeCell ref="C122:C123"/>
    <mergeCell ref="D122:D123"/>
    <mergeCell ref="E122:E123"/>
    <mergeCell ref="F122:F123"/>
    <mergeCell ref="H146:H147"/>
    <mergeCell ref="I146:I147"/>
    <mergeCell ref="B124:B125"/>
    <mergeCell ref="C124:C125"/>
    <mergeCell ref="D124:D125"/>
    <mergeCell ref="E124:E125"/>
    <mergeCell ref="F124:F125"/>
    <mergeCell ref="G124:G125"/>
    <mergeCell ref="H124:H125"/>
    <mergeCell ref="I124:I125"/>
    <mergeCell ref="B126:B127"/>
    <mergeCell ref="C126:C127"/>
    <mergeCell ref="D126:D127"/>
    <mergeCell ref="E126:E127"/>
    <mergeCell ref="F126:F127"/>
    <mergeCell ref="G126:G127"/>
    <mergeCell ref="H126:H127"/>
    <mergeCell ref="I126:I127"/>
    <mergeCell ref="B161:B162"/>
    <mergeCell ref="C161:C162"/>
    <mergeCell ref="D161:D162"/>
    <mergeCell ref="E161:E162"/>
    <mergeCell ref="F161:F162"/>
    <mergeCell ref="G161:G162"/>
    <mergeCell ref="H161:H162"/>
    <mergeCell ref="I161:I162"/>
    <mergeCell ref="B134:B135"/>
    <mergeCell ref="C134:C135"/>
    <mergeCell ref="D134:D135"/>
    <mergeCell ref="E134:E135"/>
    <mergeCell ref="F134:F135"/>
    <mergeCell ref="G134:G135"/>
    <mergeCell ref="I134:I135"/>
    <mergeCell ref="A137:I137"/>
    <mergeCell ref="A138:I138"/>
    <mergeCell ref="A139:I139"/>
    <mergeCell ref="B144:B145"/>
    <mergeCell ref="C144:C145"/>
    <mergeCell ref="D144:D145"/>
    <mergeCell ref="E144:E145"/>
    <mergeCell ref="F144:F145"/>
    <mergeCell ref="G144:G145"/>
    <mergeCell ref="H144:H145"/>
    <mergeCell ref="I144:I145"/>
    <mergeCell ref="B146:B147"/>
    <mergeCell ref="C146:C147"/>
    <mergeCell ref="D146:D147"/>
    <mergeCell ref="E146:E147"/>
    <mergeCell ref="F146:F147"/>
    <mergeCell ref="G146:G147"/>
    <mergeCell ref="B148:B149"/>
    <mergeCell ref="C148:C149"/>
    <mergeCell ref="D148:D149"/>
    <mergeCell ref="E148:E149"/>
    <mergeCell ref="F148:F149"/>
    <mergeCell ref="G148:G149"/>
    <mergeCell ref="H148:H149"/>
    <mergeCell ref="I148:I149"/>
    <mergeCell ref="B151:B152"/>
    <mergeCell ref="C151:C152"/>
    <mergeCell ref="D151:D152"/>
    <mergeCell ref="E151:E152"/>
    <mergeCell ref="F151:F152"/>
    <mergeCell ref="G151:G152"/>
    <mergeCell ref="H151:H152"/>
    <mergeCell ref="I151:I152"/>
    <mergeCell ref="A155:I155"/>
    <mergeCell ref="C163:C164"/>
    <mergeCell ref="D163:D164"/>
    <mergeCell ref="E163:E164"/>
    <mergeCell ref="F163:F164"/>
    <mergeCell ref="G163:G164"/>
    <mergeCell ref="I183:I184"/>
    <mergeCell ref="G183:G184"/>
    <mergeCell ref="H183:H184"/>
    <mergeCell ref="I163:I164"/>
    <mergeCell ref="B165:B166"/>
    <mergeCell ref="C165:C166"/>
    <mergeCell ref="D165:D166"/>
    <mergeCell ref="E165:E166"/>
    <mergeCell ref="F165:F166"/>
    <mergeCell ref="G165:G166"/>
    <mergeCell ref="H165:H166"/>
    <mergeCell ref="I165:I166"/>
    <mergeCell ref="B163:B164"/>
    <mergeCell ref="B167:B168"/>
    <mergeCell ref="C167:C168"/>
    <mergeCell ref="D167:D168"/>
    <mergeCell ref="E167:E168"/>
    <mergeCell ref="F167:F168"/>
    <mergeCell ref="G167:G168"/>
    <mergeCell ref="H167:H168"/>
    <mergeCell ref="I167:I168"/>
    <mergeCell ref="A173:I173"/>
    <mergeCell ref="A174:I174"/>
    <mergeCell ref="A175:I175"/>
    <mergeCell ref="B181:B182"/>
    <mergeCell ref="C181:C182"/>
    <mergeCell ref="D181:D182"/>
    <mergeCell ref="I196:I197"/>
    <mergeCell ref="H185:H186"/>
    <mergeCell ref="I185:I186"/>
    <mergeCell ref="G181:G182"/>
    <mergeCell ref="H181:H182"/>
    <mergeCell ref="I181:I182"/>
    <mergeCell ref="B183:B184"/>
    <mergeCell ref="C183:C184"/>
    <mergeCell ref="D183:D184"/>
    <mergeCell ref="E183:E184"/>
    <mergeCell ref="F183:F184"/>
    <mergeCell ref="B185:B186"/>
    <mergeCell ref="C185:C186"/>
    <mergeCell ref="D185:D186"/>
    <mergeCell ref="E185:E186"/>
    <mergeCell ref="F185:F186"/>
    <mergeCell ref="G185:G186"/>
    <mergeCell ref="E181:E182"/>
    <mergeCell ref="F181:F182"/>
    <mergeCell ref="H198:H199"/>
    <mergeCell ref="I198:I199"/>
    <mergeCell ref="H200:H201"/>
    <mergeCell ref="I200:I201"/>
    <mergeCell ref="I202:I203"/>
    <mergeCell ref="B204:B205"/>
    <mergeCell ref="C204:C205"/>
    <mergeCell ref="D204:D205"/>
    <mergeCell ref="E204:E205"/>
    <mergeCell ref="F204:F205"/>
    <mergeCell ref="G204:G205"/>
    <mergeCell ref="I204:I205"/>
    <mergeCell ref="B202:B203"/>
    <mergeCell ref="C202:C203"/>
    <mergeCell ref="A188:I188"/>
    <mergeCell ref="A189:I189"/>
    <mergeCell ref="A190:I190"/>
    <mergeCell ref="B194:B195"/>
    <mergeCell ref="C194:C195"/>
    <mergeCell ref="D194:D195"/>
    <mergeCell ref="E194:E195"/>
    <mergeCell ref="F194:F195"/>
    <mergeCell ref="G194:G195"/>
    <mergeCell ref="H194:H195"/>
    <mergeCell ref="I194:I195"/>
    <mergeCell ref="B196:B197"/>
    <mergeCell ref="C196:C197"/>
    <mergeCell ref="D196:D197"/>
    <mergeCell ref="E196:E197"/>
    <mergeCell ref="F196:F197"/>
    <mergeCell ref="G196:G197"/>
    <mergeCell ref="H196:H197"/>
    <mergeCell ref="B217:B218"/>
    <mergeCell ref="C217:C218"/>
    <mergeCell ref="D217:D218"/>
    <mergeCell ref="E217:E218"/>
    <mergeCell ref="B198:B199"/>
    <mergeCell ref="C198:C199"/>
    <mergeCell ref="D198:D199"/>
    <mergeCell ref="E198:E199"/>
    <mergeCell ref="F198:F199"/>
    <mergeCell ref="G198:G199"/>
    <mergeCell ref="B200:B201"/>
    <mergeCell ref="C200:C201"/>
    <mergeCell ref="D200:D201"/>
    <mergeCell ref="E200:E201"/>
    <mergeCell ref="F200:F201"/>
    <mergeCell ref="G200:G201"/>
    <mergeCell ref="D202:D203"/>
    <mergeCell ref="E202:E203"/>
    <mergeCell ref="F202:F203"/>
    <mergeCell ref="G202:G203"/>
    <mergeCell ref="A207:I207"/>
    <mergeCell ref="A208:I208"/>
    <mergeCell ref="A209:I209"/>
    <mergeCell ref="B212:B213"/>
    <mergeCell ref="C212:C213"/>
    <mergeCell ref="D212:D213"/>
    <mergeCell ref="E212:E213"/>
    <mergeCell ref="F212:F213"/>
    <mergeCell ref="G212:G213"/>
    <mergeCell ref="H212:H213"/>
    <mergeCell ref="I212:I213"/>
    <mergeCell ref="B215:B216"/>
    <mergeCell ref="C215:C216"/>
    <mergeCell ref="D215:D216"/>
    <mergeCell ref="E215:E216"/>
    <mergeCell ref="F215:F216"/>
    <mergeCell ref="G215:G216"/>
    <mergeCell ref="H215:H216"/>
    <mergeCell ref="I215:I216"/>
    <mergeCell ref="A224:I224"/>
    <mergeCell ref="H251:H252"/>
    <mergeCell ref="I230:I231"/>
    <mergeCell ref="B232:B233"/>
    <mergeCell ref="C232:C233"/>
    <mergeCell ref="D232:D233"/>
    <mergeCell ref="E232:E233"/>
    <mergeCell ref="F232:F233"/>
    <mergeCell ref="G232:G233"/>
    <mergeCell ref="H232:H233"/>
    <mergeCell ref="I232:I233"/>
    <mergeCell ref="B235:B236"/>
    <mergeCell ref="C235:C236"/>
    <mergeCell ref="D235:D236"/>
    <mergeCell ref="E235:E236"/>
    <mergeCell ref="F235:F236"/>
    <mergeCell ref="G235:G236"/>
    <mergeCell ref="H235:H236"/>
    <mergeCell ref="I235:I236"/>
    <mergeCell ref="B238:B239"/>
    <mergeCell ref="A225:I225"/>
    <mergeCell ref="A226:I226"/>
    <mergeCell ref="B230:B231"/>
    <mergeCell ref="C230:C231"/>
    <mergeCell ref="D230:D231"/>
    <mergeCell ref="E230:E231"/>
    <mergeCell ref="F230:F231"/>
    <mergeCell ref="G230:G231"/>
    <mergeCell ref="H230:H231"/>
    <mergeCell ref="H270:H271"/>
    <mergeCell ref="A264:I264"/>
    <mergeCell ref="B268:B269"/>
    <mergeCell ref="C268:C269"/>
    <mergeCell ref="D268:D269"/>
    <mergeCell ref="C238:C239"/>
    <mergeCell ref="D238:D239"/>
    <mergeCell ref="E238:E239"/>
    <mergeCell ref="F238:F239"/>
    <mergeCell ref="G238:G239"/>
    <mergeCell ref="H238:H239"/>
    <mergeCell ref="I238:I239"/>
    <mergeCell ref="B240:B241"/>
    <mergeCell ref="C240:C241"/>
    <mergeCell ref="D240:D241"/>
    <mergeCell ref="E240:E241"/>
    <mergeCell ref="F240:F241"/>
    <mergeCell ref="G240:G241"/>
    <mergeCell ref="H240:H241"/>
    <mergeCell ref="I240:I241"/>
    <mergeCell ref="A243:I243"/>
    <mergeCell ref="A244:I244"/>
    <mergeCell ref="C255:C256"/>
    <mergeCell ref="D255:D256"/>
    <mergeCell ref="E255:E256"/>
    <mergeCell ref="F255:F256"/>
    <mergeCell ref="G255:G256"/>
    <mergeCell ref="I251:I252"/>
    <mergeCell ref="H253:H254"/>
    <mergeCell ref="I253:I254"/>
    <mergeCell ref="H255:H256"/>
    <mergeCell ref="I255:I256"/>
    <mergeCell ref="B270:B271"/>
    <mergeCell ref="C257:C258"/>
    <mergeCell ref="D257:D258"/>
    <mergeCell ref="E257:E258"/>
    <mergeCell ref="F257:F258"/>
    <mergeCell ref="A262:I262"/>
    <mergeCell ref="A263:I263"/>
    <mergeCell ref="D270:D271"/>
    <mergeCell ref="E270:E271"/>
    <mergeCell ref="F270:F271"/>
    <mergeCell ref="G270:G271"/>
    <mergeCell ref="B295:B296"/>
    <mergeCell ref="C295:C296"/>
    <mergeCell ref="D295:D296"/>
    <mergeCell ref="E295:E296"/>
    <mergeCell ref="F295:F296"/>
    <mergeCell ref="G295:G296"/>
    <mergeCell ref="H295:H296"/>
    <mergeCell ref="I295:I296"/>
    <mergeCell ref="B272:B273"/>
    <mergeCell ref="C272:C273"/>
    <mergeCell ref="D272:D273"/>
    <mergeCell ref="E272:E273"/>
    <mergeCell ref="F272:F273"/>
    <mergeCell ref="G272:G273"/>
    <mergeCell ref="H272:H273"/>
    <mergeCell ref="I272:I273"/>
    <mergeCell ref="B274:B275"/>
    <mergeCell ref="C274:C275"/>
    <mergeCell ref="D274:D275"/>
    <mergeCell ref="E274:E275"/>
    <mergeCell ref="F274:F275"/>
    <mergeCell ref="A1:I1"/>
    <mergeCell ref="A7:I7"/>
    <mergeCell ref="A8:I8"/>
    <mergeCell ref="A14:I14"/>
    <mergeCell ref="A15:I15"/>
    <mergeCell ref="A154:I154"/>
    <mergeCell ref="B259:B260"/>
    <mergeCell ref="C259:C260"/>
    <mergeCell ref="D259:D260"/>
    <mergeCell ref="E259:E260"/>
    <mergeCell ref="F259:F260"/>
    <mergeCell ref="G259:G260"/>
    <mergeCell ref="I259:I260"/>
    <mergeCell ref="A156:I156"/>
    <mergeCell ref="E268:E269"/>
    <mergeCell ref="F268:F269"/>
    <mergeCell ref="G268:G269"/>
    <mergeCell ref="H268:H269"/>
    <mergeCell ref="I268:I269"/>
    <mergeCell ref="B257:B258"/>
    <mergeCell ref="F217:F218"/>
    <mergeCell ref="G217:G218"/>
    <mergeCell ref="H217:H218"/>
    <mergeCell ref="I217:I218"/>
    <mergeCell ref="B221:B222"/>
    <mergeCell ref="C221:C222"/>
    <mergeCell ref="D221:D222"/>
    <mergeCell ref="E221:E222"/>
    <mergeCell ref="F221:F222"/>
    <mergeCell ref="G221:G222"/>
    <mergeCell ref="H221:H222"/>
    <mergeCell ref="I221:I222"/>
    <mergeCell ref="C270:C271"/>
    <mergeCell ref="A284:I284"/>
    <mergeCell ref="A285:I285"/>
    <mergeCell ref="A286:I286"/>
    <mergeCell ref="B290:B291"/>
    <mergeCell ref="C290:C291"/>
    <mergeCell ref="D290:D291"/>
    <mergeCell ref="E290:E291"/>
    <mergeCell ref="F290:F291"/>
    <mergeCell ref="G290:G291"/>
    <mergeCell ref="H290:H291"/>
    <mergeCell ref="I290:I291"/>
    <mergeCell ref="B278:B279"/>
    <mergeCell ref="C278:C279"/>
    <mergeCell ref="D278:D279"/>
    <mergeCell ref="E278:E279"/>
    <mergeCell ref="F278:F279"/>
    <mergeCell ref="G278:G279"/>
    <mergeCell ref="H278:H279"/>
    <mergeCell ref="I278:I279"/>
    <mergeCell ref="I270:I271"/>
    <mergeCell ref="G274:G275"/>
    <mergeCell ref="H274:H275"/>
    <mergeCell ref="I274:I275"/>
    <mergeCell ref="B276:B277"/>
    <mergeCell ref="C276:C277"/>
    <mergeCell ref="D276:D277"/>
    <mergeCell ref="E276:E277"/>
    <mergeCell ref="F276:F277"/>
    <mergeCell ref="G276:G277"/>
    <mergeCell ref="H276:H277"/>
    <mergeCell ref="I276:I277"/>
    <mergeCell ref="C266:C267"/>
    <mergeCell ref="D266:D267"/>
    <mergeCell ref="E266:E267"/>
    <mergeCell ref="F266:F267"/>
    <mergeCell ref="G266:G267"/>
    <mergeCell ref="H266:H267"/>
    <mergeCell ref="I266:I267"/>
    <mergeCell ref="B192:B193"/>
    <mergeCell ref="C192:C193"/>
    <mergeCell ref="D192:D193"/>
    <mergeCell ref="E192:E193"/>
    <mergeCell ref="F192:F193"/>
    <mergeCell ref="G192:G193"/>
    <mergeCell ref="H192:H193"/>
    <mergeCell ref="I192:I193"/>
    <mergeCell ref="B228:B229"/>
    <mergeCell ref="C228:C229"/>
    <mergeCell ref="D228:D229"/>
    <mergeCell ref="E228:E229"/>
    <mergeCell ref="F228:F229"/>
    <mergeCell ref="G228:G229"/>
    <mergeCell ref="H228:H229"/>
    <mergeCell ref="I228:I229"/>
    <mergeCell ref="G249:G250"/>
    <mergeCell ref="H249:H250"/>
    <mergeCell ref="I249:I250"/>
    <mergeCell ref="B253:B254"/>
    <mergeCell ref="C253:C254"/>
    <mergeCell ref="D253:D254"/>
    <mergeCell ref="E253:E254"/>
    <mergeCell ref="F253:F254"/>
    <mergeCell ref="G253:G254"/>
    <mergeCell ref="H315:H316"/>
    <mergeCell ref="I315:I316"/>
    <mergeCell ref="F315:F316"/>
    <mergeCell ref="G306:G307"/>
    <mergeCell ref="I306:I307"/>
    <mergeCell ref="A301:A302"/>
    <mergeCell ref="B301:B302"/>
    <mergeCell ref="C301:C302"/>
    <mergeCell ref="D301:D302"/>
    <mergeCell ref="E301:E302"/>
    <mergeCell ref="F301:F302"/>
    <mergeCell ref="G301:G302"/>
    <mergeCell ref="A306:A307"/>
    <mergeCell ref="B306:B307"/>
    <mergeCell ref="C306:C307"/>
    <mergeCell ref="D306:D307"/>
    <mergeCell ref="E306:E307"/>
    <mergeCell ref="F306:F307"/>
    <mergeCell ref="A309:G309"/>
    <mergeCell ref="H309:I309"/>
    <mergeCell ref="A310:I310"/>
    <mergeCell ref="A311:I311"/>
    <mergeCell ref="B315:B316"/>
    <mergeCell ref="C315:C316"/>
    <mergeCell ref="D315:D316"/>
    <mergeCell ref="E315:E316"/>
    <mergeCell ref="E299:E300"/>
    <mergeCell ref="F299:F300"/>
    <mergeCell ref="G299:G300"/>
    <mergeCell ref="I299:I300"/>
    <mergeCell ref="B297:B298"/>
    <mergeCell ref="C297:C298"/>
    <mergeCell ref="D297:D298"/>
    <mergeCell ref="E297:E298"/>
    <mergeCell ref="F297:F298"/>
    <mergeCell ref="G297:G298"/>
    <mergeCell ref="H317:H318"/>
    <mergeCell ref="I301:I302"/>
    <mergeCell ref="B303:B304"/>
    <mergeCell ref="C303:C304"/>
    <mergeCell ref="D303:D304"/>
    <mergeCell ref="E303:E304"/>
    <mergeCell ref="F303:F304"/>
    <mergeCell ref="G303:G304"/>
    <mergeCell ref="H303:H304"/>
    <mergeCell ref="I303:I304"/>
    <mergeCell ref="I317:I318"/>
    <mergeCell ref="B317:B318"/>
    <mergeCell ref="C317:C318"/>
    <mergeCell ref="D317:D318"/>
    <mergeCell ref="E317:E318"/>
    <mergeCell ref="F317:F318"/>
    <mergeCell ref="G317:G318"/>
    <mergeCell ref="I297:I298"/>
    <mergeCell ref="B299:B300"/>
    <mergeCell ref="C299:C300"/>
    <mergeCell ref="D299:D300"/>
    <mergeCell ref="G315:G316"/>
    <mergeCell ref="A343:A344"/>
    <mergeCell ref="B343:B344"/>
    <mergeCell ref="C343:C344"/>
    <mergeCell ref="D343:D344"/>
    <mergeCell ref="E343:E344"/>
    <mergeCell ref="F343:F344"/>
    <mergeCell ref="G343:G344"/>
    <mergeCell ref="I343:I344"/>
    <mergeCell ref="B325:B326"/>
    <mergeCell ref="C325:C326"/>
    <mergeCell ref="D325:D326"/>
    <mergeCell ref="E325:E326"/>
    <mergeCell ref="F325:F326"/>
    <mergeCell ref="G325:G326"/>
    <mergeCell ref="H325:H326"/>
    <mergeCell ref="I325:I326"/>
    <mergeCell ref="A328:I328"/>
    <mergeCell ref="A329:I329"/>
    <mergeCell ref="A330:I330"/>
    <mergeCell ref="I335:I336"/>
    <mergeCell ref="B337:B338"/>
    <mergeCell ref="C337:C338"/>
    <mergeCell ref="D337:D338"/>
    <mergeCell ref="E337:E338"/>
    <mergeCell ref="F337:F338"/>
    <mergeCell ref="I337:I338"/>
    <mergeCell ref="B339:B340"/>
    <mergeCell ref="C339:C340"/>
    <mergeCell ref="D339:D340"/>
    <mergeCell ref="E339:E340"/>
    <mergeCell ref="F339:F340"/>
    <mergeCell ref="G339:G340"/>
    <mergeCell ref="H339:H340"/>
    <mergeCell ref="I339:I340"/>
    <mergeCell ref="E319:E320"/>
    <mergeCell ref="F319:F320"/>
    <mergeCell ref="G319:G320"/>
    <mergeCell ref="H319:H320"/>
    <mergeCell ref="I319:I320"/>
    <mergeCell ref="B321:B322"/>
    <mergeCell ref="C321:C322"/>
    <mergeCell ref="D321:D322"/>
    <mergeCell ref="E321:E322"/>
    <mergeCell ref="F321:F322"/>
    <mergeCell ref="G321:G322"/>
    <mergeCell ref="H321:H322"/>
    <mergeCell ref="I321:I322"/>
    <mergeCell ref="B323:B324"/>
    <mergeCell ref="C323:C324"/>
    <mergeCell ref="D323:D324"/>
    <mergeCell ref="E323:E324"/>
    <mergeCell ref="F323:F324"/>
    <mergeCell ref="G323:G324"/>
    <mergeCell ref="H323:H324"/>
    <mergeCell ref="I323:I324"/>
    <mergeCell ref="B319:B320"/>
    <mergeCell ref="C319:C320"/>
    <mergeCell ref="D319:D320"/>
    <mergeCell ref="D375:D376"/>
    <mergeCell ref="B341:B342"/>
    <mergeCell ref="C341:C342"/>
    <mergeCell ref="D341:D342"/>
    <mergeCell ref="E341:E342"/>
    <mergeCell ref="F341:F342"/>
    <mergeCell ref="G341:G342"/>
    <mergeCell ref="H341:H342"/>
    <mergeCell ref="I341:I342"/>
    <mergeCell ref="G337:G338"/>
    <mergeCell ref="H337:H338"/>
    <mergeCell ref="G368:G369"/>
    <mergeCell ref="H368:H369"/>
    <mergeCell ref="I368:I369"/>
    <mergeCell ref="B370:B371"/>
    <mergeCell ref="C370:C371"/>
    <mergeCell ref="D370:D371"/>
    <mergeCell ref="E370:E371"/>
    <mergeCell ref="F370:F371"/>
    <mergeCell ref="G370:G371"/>
    <mergeCell ref="H370:H371"/>
    <mergeCell ref="I370:I371"/>
    <mergeCell ref="A345:I345"/>
    <mergeCell ref="A346:I346"/>
    <mergeCell ref="A347:I347"/>
    <mergeCell ref="B355:B356"/>
    <mergeCell ref="C355:C356"/>
    <mergeCell ref="D355:D356"/>
    <mergeCell ref="E355:E356"/>
    <mergeCell ref="F355:F356"/>
    <mergeCell ref="G355:G356"/>
    <mergeCell ref="H355:H356"/>
    <mergeCell ref="A380:I380"/>
    <mergeCell ref="A381:I381"/>
    <mergeCell ref="A378:A379"/>
    <mergeCell ref="B378:B379"/>
    <mergeCell ref="A357:A358"/>
    <mergeCell ref="B357:B358"/>
    <mergeCell ref="C357:C358"/>
    <mergeCell ref="D357:D358"/>
    <mergeCell ref="E357:E358"/>
    <mergeCell ref="F357:F358"/>
    <mergeCell ref="G357:G358"/>
    <mergeCell ref="I357:I358"/>
    <mergeCell ref="B391:B392"/>
    <mergeCell ref="C391:C392"/>
    <mergeCell ref="D391:D392"/>
    <mergeCell ref="E391:E392"/>
    <mergeCell ref="F391:F392"/>
    <mergeCell ref="G391:G392"/>
    <mergeCell ref="H391:H392"/>
    <mergeCell ref="I391:I392"/>
    <mergeCell ref="F375:F376"/>
    <mergeCell ref="G375:G376"/>
    <mergeCell ref="H375:H376"/>
    <mergeCell ref="I375:I376"/>
    <mergeCell ref="B372:B373"/>
    <mergeCell ref="C372:C373"/>
    <mergeCell ref="D372:D373"/>
    <mergeCell ref="E372:E373"/>
    <mergeCell ref="F372:F373"/>
    <mergeCell ref="G372:G373"/>
    <mergeCell ref="E378:E379"/>
    <mergeCell ref="F378:F379"/>
    <mergeCell ref="A382:I382"/>
    <mergeCell ref="B386:B387"/>
    <mergeCell ref="C386:C387"/>
    <mergeCell ref="D386:D387"/>
    <mergeCell ref="E386:E387"/>
    <mergeCell ref="F386:F387"/>
    <mergeCell ref="G386:G387"/>
    <mergeCell ref="H386:H387"/>
    <mergeCell ref="I386:I387"/>
    <mergeCell ref="H384:H385"/>
    <mergeCell ref="B388:B389"/>
    <mergeCell ref="C388:C389"/>
    <mergeCell ref="D388:D389"/>
    <mergeCell ref="E388:E389"/>
    <mergeCell ref="F388:F389"/>
    <mergeCell ref="G388:G389"/>
    <mergeCell ref="H388:H389"/>
    <mergeCell ref="I388:I389"/>
    <mergeCell ref="I384:I385"/>
    <mergeCell ref="B384:B385"/>
    <mergeCell ref="C384:C385"/>
    <mergeCell ref="D384:D385"/>
    <mergeCell ref="E384:E385"/>
    <mergeCell ref="F384:F385"/>
    <mergeCell ref="G384:G385"/>
    <mergeCell ref="C393:C394"/>
    <mergeCell ref="D393:D394"/>
    <mergeCell ref="E393:E394"/>
    <mergeCell ref="F393:F394"/>
    <mergeCell ref="G393:G394"/>
    <mergeCell ref="H393:H394"/>
    <mergeCell ref="I393:I394"/>
    <mergeCell ref="B395:B396"/>
    <mergeCell ref="C395:C396"/>
    <mergeCell ref="D395:D396"/>
    <mergeCell ref="E395:E396"/>
    <mergeCell ref="F395:F396"/>
    <mergeCell ref="G395:G396"/>
    <mergeCell ref="H395:H396"/>
    <mergeCell ref="I395:I396"/>
    <mergeCell ref="C405:C406"/>
    <mergeCell ref="D405:D406"/>
    <mergeCell ref="E405:E406"/>
    <mergeCell ref="F405:F406"/>
    <mergeCell ref="G405:G406"/>
    <mergeCell ref="H405:H406"/>
    <mergeCell ref="B393:B394"/>
    <mergeCell ref="A431:A432"/>
    <mergeCell ref="B431:B432"/>
    <mergeCell ref="C431:C432"/>
    <mergeCell ref="D431:D432"/>
    <mergeCell ref="E431:E432"/>
    <mergeCell ref="F431:F432"/>
    <mergeCell ref="B409:B410"/>
    <mergeCell ref="C409:C410"/>
    <mergeCell ref="D409:D410"/>
    <mergeCell ref="E409:E410"/>
    <mergeCell ref="F409:F410"/>
    <mergeCell ref="G409:G410"/>
    <mergeCell ref="H409:H410"/>
    <mergeCell ref="I409:I410"/>
    <mergeCell ref="B412:B413"/>
    <mergeCell ref="C412:C413"/>
    <mergeCell ref="D412:D413"/>
    <mergeCell ref="E412:E413"/>
    <mergeCell ref="F412:F413"/>
    <mergeCell ref="G412:G413"/>
    <mergeCell ref="H412:H413"/>
    <mergeCell ref="I412:I413"/>
    <mergeCell ref="G417:G418"/>
    <mergeCell ref="I417:I418"/>
    <mergeCell ref="B414:B415"/>
    <mergeCell ref="C414:C415"/>
    <mergeCell ref="D414:D415"/>
    <mergeCell ref="E414:E415"/>
    <mergeCell ref="F414:F415"/>
    <mergeCell ref="G414:G415"/>
    <mergeCell ref="A417:A418"/>
    <mergeCell ref="B417:B418"/>
    <mergeCell ref="B433:B434"/>
    <mergeCell ref="C433:C434"/>
    <mergeCell ref="D433:D434"/>
    <mergeCell ref="E433:E434"/>
    <mergeCell ref="F433:F434"/>
    <mergeCell ref="G433:G434"/>
    <mergeCell ref="H433:H434"/>
    <mergeCell ref="I433:I434"/>
    <mergeCell ref="B118:B119"/>
    <mergeCell ref="C118:C119"/>
    <mergeCell ref="D118:D119"/>
    <mergeCell ref="E118:E119"/>
    <mergeCell ref="F118:F119"/>
    <mergeCell ref="G118:G119"/>
    <mergeCell ref="H118:H119"/>
    <mergeCell ref="I118:I119"/>
    <mergeCell ref="G419:G420"/>
    <mergeCell ref="I419:I420"/>
    <mergeCell ref="A421:I421"/>
    <mergeCell ref="A422:I422"/>
    <mergeCell ref="A419:A420"/>
    <mergeCell ref="B419:B420"/>
    <mergeCell ref="C419:C420"/>
    <mergeCell ref="D419:D420"/>
    <mergeCell ref="E419:E420"/>
    <mergeCell ref="F419:F420"/>
    <mergeCell ref="G431:G432"/>
    <mergeCell ref="I431:I432"/>
    <mergeCell ref="A423:I423"/>
    <mergeCell ref="B429:B430"/>
    <mergeCell ref="C429:C430"/>
    <mergeCell ref="D429:D430"/>
    <mergeCell ref="H407:H408"/>
    <mergeCell ref="I407:I408"/>
    <mergeCell ref="A398:I398"/>
    <mergeCell ref="A399:I399"/>
    <mergeCell ref="A400:I400"/>
    <mergeCell ref="B405:B406"/>
    <mergeCell ref="I429:I430"/>
    <mergeCell ref="H414:H415"/>
    <mergeCell ref="I414:I415"/>
    <mergeCell ref="I405:I406"/>
    <mergeCell ref="B407:B408"/>
    <mergeCell ref="C407:C408"/>
    <mergeCell ref="D407:D408"/>
    <mergeCell ref="E407:E408"/>
    <mergeCell ref="F407:F408"/>
    <mergeCell ref="G407:G408"/>
    <mergeCell ref="E429:E430"/>
    <mergeCell ref="F429:F430"/>
    <mergeCell ref="G429:G430"/>
    <mergeCell ref="H429:H430"/>
    <mergeCell ref="C417:C418"/>
    <mergeCell ref="D417:D418"/>
    <mergeCell ref="E417:E418"/>
    <mergeCell ref="F417:F418"/>
    <mergeCell ref="A361:I361"/>
    <mergeCell ref="B368:B369"/>
    <mergeCell ref="C368:C369"/>
    <mergeCell ref="D368:D369"/>
    <mergeCell ref="E368:E369"/>
    <mergeCell ref="F368:F369"/>
    <mergeCell ref="B247:B248"/>
    <mergeCell ref="C247:C248"/>
    <mergeCell ref="D247:D248"/>
    <mergeCell ref="E247:E248"/>
    <mergeCell ref="F247:F248"/>
    <mergeCell ref="G247:G248"/>
    <mergeCell ref="H247:H248"/>
    <mergeCell ref="I247:I248"/>
    <mergeCell ref="B266:B267"/>
    <mergeCell ref="G257:G258"/>
    <mergeCell ref="I257:I258"/>
    <mergeCell ref="B255:B256"/>
    <mergeCell ref="B251:B252"/>
    <mergeCell ref="C251:C252"/>
    <mergeCell ref="D251:D252"/>
    <mergeCell ref="E251:E252"/>
    <mergeCell ref="F251:F252"/>
    <mergeCell ref="G251:G252"/>
    <mergeCell ref="I355:I356"/>
    <mergeCell ref="B335:B336"/>
    <mergeCell ref="C335:C336"/>
    <mergeCell ref="D335:D336"/>
    <mergeCell ref="E335:E336"/>
    <mergeCell ref="F335:F336"/>
    <mergeCell ref="G335:G336"/>
    <mergeCell ref="H335:H336"/>
    <mergeCell ref="E375:E376"/>
    <mergeCell ref="G378:G379"/>
    <mergeCell ref="I378:I379"/>
    <mergeCell ref="I372:I373"/>
    <mergeCell ref="B375:B376"/>
    <mergeCell ref="C375:C376"/>
    <mergeCell ref="A245:I245"/>
    <mergeCell ref="B249:B250"/>
    <mergeCell ref="C249:C250"/>
    <mergeCell ref="D249:D250"/>
    <mergeCell ref="E249:E250"/>
    <mergeCell ref="F249:F250"/>
    <mergeCell ref="C378:C379"/>
    <mergeCell ref="D378:D379"/>
    <mergeCell ref="B288:B289"/>
    <mergeCell ref="C288:C289"/>
    <mergeCell ref="D288:D289"/>
    <mergeCell ref="E288:E289"/>
    <mergeCell ref="F288:F289"/>
    <mergeCell ref="G288:G289"/>
    <mergeCell ref="H288:H289"/>
    <mergeCell ref="I288:I289"/>
    <mergeCell ref="B313:B314"/>
    <mergeCell ref="C313:C314"/>
    <mergeCell ref="D313:D314"/>
    <mergeCell ref="E313:E314"/>
    <mergeCell ref="F313:F314"/>
    <mergeCell ref="G313:G314"/>
    <mergeCell ref="H313:H314"/>
    <mergeCell ref="I313:I314"/>
    <mergeCell ref="A359:I359"/>
    <mergeCell ref="A360:I360"/>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dimension ref="A1:I49"/>
  <sheetViews>
    <sheetView workbookViewId="0">
      <selection activeCell="A18" sqref="A18:XFD19"/>
    </sheetView>
  </sheetViews>
  <sheetFormatPr defaultRowHeight="15"/>
  <sheetData>
    <row r="1" spans="1:9">
      <c r="A1" s="200" t="s">
        <v>708</v>
      </c>
      <c r="B1" s="200"/>
      <c r="C1" s="200"/>
      <c r="D1" s="200"/>
      <c r="E1" s="200"/>
      <c r="F1" s="200"/>
      <c r="G1" s="200"/>
      <c r="H1" s="200"/>
      <c r="I1" s="200"/>
    </row>
    <row r="2" spans="1:9">
      <c r="A2" s="17" t="s">
        <v>140</v>
      </c>
      <c r="B2" s="17" t="s">
        <v>242</v>
      </c>
      <c r="C2" s="17" t="s">
        <v>241</v>
      </c>
      <c r="D2" s="17" t="s">
        <v>240</v>
      </c>
      <c r="E2" s="17" t="s">
        <v>239</v>
      </c>
      <c r="F2" s="17" t="s">
        <v>238</v>
      </c>
      <c r="G2" s="17" t="s">
        <v>237</v>
      </c>
      <c r="H2" s="17" t="s">
        <v>236</v>
      </c>
      <c r="I2" s="17" t="s">
        <v>235</v>
      </c>
    </row>
    <row r="3" spans="1:9" ht="19.5">
      <c r="A3" s="36" t="s">
        <v>709</v>
      </c>
      <c r="B3" s="38">
        <v>9000</v>
      </c>
      <c r="C3" s="38" t="s">
        <v>275</v>
      </c>
      <c r="D3" s="38">
        <v>21</v>
      </c>
      <c r="E3" s="38" t="s">
        <v>210</v>
      </c>
      <c r="F3" s="38" t="s">
        <v>228</v>
      </c>
      <c r="G3" s="38" t="s">
        <v>210</v>
      </c>
      <c r="H3" s="38" t="s">
        <v>210</v>
      </c>
      <c r="I3" s="37"/>
    </row>
    <row r="4" spans="1:9" ht="29.25">
      <c r="A4" s="14" t="s">
        <v>710</v>
      </c>
      <c r="B4" s="8">
        <v>15000</v>
      </c>
      <c r="C4" s="8" t="s">
        <v>275</v>
      </c>
      <c r="D4" s="8">
        <v>24</v>
      </c>
      <c r="E4" s="8" t="s">
        <v>210</v>
      </c>
      <c r="F4" s="8" t="s">
        <v>225</v>
      </c>
      <c r="G4" s="8" t="s">
        <v>210</v>
      </c>
      <c r="H4" s="8" t="s">
        <v>711</v>
      </c>
      <c r="I4" s="7"/>
    </row>
    <row r="5" spans="1:9" ht="39">
      <c r="A5" s="34" t="s">
        <v>712</v>
      </c>
      <c r="B5" s="38">
        <v>17000</v>
      </c>
      <c r="C5" s="38" t="s">
        <v>275</v>
      </c>
      <c r="D5" s="38">
        <v>22</v>
      </c>
      <c r="E5" s="38" t="s">
        <v>210</v>
      </c>
      <c r="F5" s="38" t="s">
        <v>225</v>
      </c>
      <c r="G5" s="38" t="s">
        <v>210</v>
      </c>
      <c r="H5" s="38" t="s">
        <v>713</v>
      </c>
      <c r="I5" s="37"/>
    </row>
    <row r="6" spans="1:9" ht="19.5">
      <c r="A6" s="14" t="s">
        <v>714</v>
      </c>
      <c r="B6" s="198">
        <v>19000</v>
      </c>
      <c r="C6" s="198" t="s">
        <v>275</v>
      </c>
      <c r="D6" s="198">
        <v>23</v>
      </c>
      <c r="E6" s="198" t="s">
        <v>210</v>
      </c>
      <c r="F6" s="198" t="s">
        <v>225</v>
      </c>
      <c r="G6" s="198" t="s">
        <v>210</v>
      </c>
      <c r="H6" s="198" t="s">
        <v>715</v>
      </c>
      <c r="I6" s="199"/>
    </row>
    <row r="7" spans="1:9" ht="19.5">
      <c r="A7" s="13" t="s">
        <v>716</v>
      </c>
      <c r="B7" s="198"/>
      <c r="C7" s="198"/>
      <c r="D7" s="198"/>
      <c r="E7" s="198"/>
      <c r="F7" s="198"/>
      <c r="G7" s="198"/>
      <c r="H7" s="198"/>
      <c r="I7" s="199"/>
    </row>
    <row r="8" spans="1:9" ht="19.5">
      <c r="A8" s="39" t="s">
        <v>717</v>
      </c>
      <c r="B8" s="38">
        <v>21000</v>
      </c>
      <c r="C8" s="38" t="s">
        <v>275</v>
      </c>
      <c r="D8" s="38">
        <v>27</v>
      </c>
      <c r="E8" s="38" t="s">
        <v>210</v>
      </c>
      <c r="F8" s="38" t="s">
        <v>211</v>
      </c>
      <c r="G8" s="38" t="s">
        <v>210</v>
      </c>
      <c r="H8" s="38" t="s">
        <v>718</v>
      </c>
      <c r="I8" s="37"/>
    </row>
    <row r="9" spans="1:9">
      <c r="A9" s="203"/>
      <c r="B9" s="203"/>
      <c r="C9" s="203"/>
      <c r="D9" s="203"/>
      <c r="E9" s="203"/>
      <c r="F9" s="203"/>
      <c r="G9" s="203"/>
      <c r="H9" s="203"/>
      <c r="I9" s="203"/>
    </row>
    <row r="10" spans="1:9">
      <c r="A10" s="203"/>
      <c r="B10" s="203"/>
      <c r="C10" s="203"/>
      <c r="D10" s="203"/>
      <c r="E10" s="203"/>
      <c r="F10" s="203"/>
      <c r="G10" s="203"/>
      <c r="H10" s="203"/>
      <c r="I10" s="203"/>
    </row>
    <row r="12" spans="1:9">
      <c r="A12" s="200" t="s">
        <v>719</v>
      </c>
      <c r="B12" s="200"/>
      <c r="C12" s="200"/>
      <c r="D12" s="200"/>
      <c r="E12" s="200"/>
      <c r="F12" s="200"/>
      <c r="G12" s="200"/>
      <c r="H12" s="200"/>
      <c r="I12" s="200"/>
    </row>
    <row r="13" spans="1:9">
      <c r="A13" s="17" t="s">
        <v>140</v>
      </c>
      <c r="B13" s="17" t="s">
        <v>242</v>
      </c>
      <c r="C13" s="17" t="s">
        <v>241</v>
      </c>
      <c r="D13" s="17" t="s">
        <v>240</v>
      </c>
      <c r="E13" s="17" t="s">
        <v>239</v>
      </c>
      <c r="F13" s="17" t="s">
        <v>238</v>
      </c>
      <c r="G13" s="17" t="s">
        <v>237</v>
      </c>
      <c r="H13" s="17" t="s">
        <v>236</v>
      </c>
      <c r="I13" s="17" t="s">
        <v>235</v>
      </c>
    </row>
    <row r="14" spans="1:9" ht="19.5">
      <c r="A14" s="40" t="s">
        <v>720</v>
      </c>
      <c r="B14" s="38" t="s">
        <v>210</v>
      </c>
      <c r="C14" s="38">
        <v>1</v>
      </c>
      <c r="D14" s="38">
        <v>0</v>
      </c>
      <c r="E14" s="38" t="s">
        <v>210</v>
      </c>
      <c r="F14" s="38" t="s">
        <v>211</v>
      </c>
      <c r="G14" s="38" t="s">
        <v>210</v>
      </c>
      <c r="H14" s="38" t="s">
        <v>721</v>
      </c>
      <c r="I14" s="37"/>
    </row>
    <row r="15" spans="1:9" ht="19.5">
      <c r="A15" s="19" t="s">
        <v>722</v>
      </c>
      <c r="B15" s="8" t="s">
        <v>210</v>
      </c>
      <c r="C15" s="8">
        <v>1</v>
      </c>
      <c r="D15" s="8">
        <v>0</v>
      </c>
      <c r="E15" s="8" t="s">
        <v>210</v>
      </c>
      <c r="F15" s="8" t="s">
        <v>211</v>
      </c>
      <c r="G15" s="8" t="s">
        <v>210</v>
      </c>
      <c r="H15" s="8" t="s">
        <v>721</v>
      </c>
      <c r="I15" s="7"/>
    </row>
    <row r="16" spans="1:9" ht="29.25">
      <c r="A16" s="217" t="s">
        <v>723</v>
      </c>
      <c r="B16" s="204">
        <v>600</v>
      </c>
      <c r="C16" s="204">
        <v>1</v>
      </c>
      <c r="D16" s="204">
        <v>5</v>
      </c>
      <c r="E16" s="204" t="s">
        <v>229</v>
      </c>
      <c r="F16" s="204" t="s">
        <v>211</v>
      </c>
      <c r="G16" s="204" t="s">
        <v>210</v>
      </c>
      <c r="H16" s="38" t="s">
        <v>724</v>
      </c>
      <c r="I16" s="205"/>
    </row>
    <row r="17" spans="1:9" ht="19.5">
      <c r="A17" s="217"/>
      <c r="B17" s="204"/>
      <c r="C17" s="204"/>
      <c r="D17" s="204"/>
      <c r="E17" s="204"/>
      <c r="F17" s="204"/>
      <c r="G17" s="204"/>
      <c r="H17" s="38" t="s">
        <v>725</v>
      </c>
      <c r="I17" s="205"/>
    </row>
    <row r="18" spans="1:9" ht="19.5">
      <c r="A18" s="9" t="s">
        <v>726</v>
      </c>
      <c r="B18" s="8">
        <v>777</v>
      </c>
      <c r="C18" s="8">
        <v>1</v>
      </c>
      <c r="D18" s="8">
        <v>12</v>
      </c>
      <c r="E18" s="8" t="s">
        <v>210</v>
      </c>
      <c r="F18" s="8" t="s">
        <v>211</v>
      </c>
      <c r="G18" s="8" t="s">
        <v>210</v>
      </c>
      <c r="H18" s="8" t="s">
        <v>727</v>
      </c>
      <c r="I18" s="7"/>
    </row>
    <row r="19" spans="1:9" ht="19.5">
      <c r="A19" s="217" t="s">
        <v>728</v>
      </c>
      <c r="B19" s="204">
        <v>1800</v>
      </c>
      <c r="C19" s="204">
        <v>1</v>
      </c>
      <c r="D19" s="204">
        <v>3</v>
      </c>
      <c r="E19" s="204" t="s">
        <v>283</v>
      </c>
      <c r="F19" s="204" t="s">
        <v>211</v>
      </c>
      <c r="G19" s="204" t="s">
        <v>210</v>
      </c>
      <c r="H19" s="38" t="s">
        <v>729</v>
      </c>
      <c r="I19" s="205"/>
    </row>
    <row r="20" spans="1:9" ht="48.75">
      <c r="A20" s="217"/>
      <c r="B20" s="204"/>
      <c r="C20" s="204"/>
      <c r="D20" s="204"/>
      <c r="E20" s="204"/>
      <c r="F20" s="204"/>
      <c r="G20" s="204"/>
      <c r="H20" s="38" t="s">
        <v>730</v>
      </c>
      <c r="I20" s="205"/>
    </row>
    <row r="21" spans="1:9">
      <c r="A21" s="204" t="s">
        <v>731</v>
      </c>
      <c r="B21" s="204"/>
      <c r="C21" s="204"/>
      <c r="D21" s="204"/>
      <c r="E21" s="204"/>
      <c r="F21" s="204"/>
      <c r="G21" s="204"/>
      <c r="H21" s="204"/>
      <c r="I21" s="44"/>
    </row>
    <row r="23" spans="1:9">
      <c r="A23" s="200" t="s">
        <v>732</v>
      </c>
      <c r="B23" s="200"/>
      <c r="C23" s="200"/>
      <c r="D23" s="200"/>
      <c r="E23" s="200"/>
      <c r="F23" s="200"/>
      <c r="G23" s="200"/>
      <c r="H23" s="200"/>
      <c r="I23" s="200"/>
    </row>
    <row r="24" spans="1:9">
      <c r="A24" s="17" t="s">
        <v>140</v>
      </c>
      <c r="B24" s="17" t="s">
        <v>242</v>
      </c>
      <c r="C24" s="17" t="s">
        <v>241</v>
      </c>
      <c r="D24" s="17" t="s">
        <v>240</v>
      </c>
      <c r="E24" s="17" t="s">
        <v>239</v>
      </c>
      <c r="F24" s="17" t="s">
        <v>238</v>
      </c>
      <c r="G24" s="17" t="s">
        <v>237</v>
      </c>
      <c r="H24" s="17" t="s">
        <v>236</v>
      </c>
      <c r="I24" s="17" t="s">
        <v>235</v>
      </c>
    </row>
    <row r="25" spans="1:9" ht="15.75">
      <c r="A25" s="12" t="s">
        <v>733</v>
      </c>
      <c r="B25" s="11" t="s">
        <v>210</v>
      </c>
      <c r="C25" s="11">
        <v>1</v>
      </c>
      <c r="D25" s="11">
        <v>0</v>
      </c>
      <c r="E25" s="11" t="s">
        <v>210</v>
      </c>
      <c r="F25" s="11" t="s">
        <v>211</v>
      </c>
      <c r="G25" s="11" t="s">
        <v>211</v>
      </c>
      <c r="H25" s="11" t="s">
        <v>210</v>
      </c>
      <c r="I25" s="10"/>
    </row>
    <row r="26" spans="1:9" ht="29.25">
      <c r="A26" s="19" t="s">
        <v>733</v>
      </c>
      <c r="B26" s="8" t="s">
        <v>210</v>
      </c>
      <c r="C26" s="8">
        <v>1</v>
      </c>
      <c r="D26" s="8">
        <v>0</v>
      </c>
      <c r="E26" s="8" t="s">
        <v>210</v>
      </c>
      <c r="F26" s="8" t="s">
        <v>211</v>
      </c>
      <c r="G26" s="8" t="s">
        <v>211</v>
      </c>
      <c r="H26" s="8" t="s">
        <v>734</v>
      </c>
      <c r="I26" s="7"/>
    </row>
    <row r="27" spans="1:9">
      <c r="A27" s="203"/>
      <c r="B27" s="203"/>
      <c r="C27" s="203"/>
      <c r="D27" s="203"/>
      <c r="E27" s="203"/>
      <c r="F27" s="203"/>
      <c r="G27" s="203"/>
      <c r="H27" s="203"/>
      <c r="I27" s="203"/>
    </row>
    <row r="28" spans="1:9">
      <c r="A28" s="203"/>
      <c r="B28" s="203"/>
      <c r="C28" s="203"/>
      <c r="D28" s="203"/>
      <c r="E28" s="203"/>
      <c r="F28" s="203"/>
      <c r="G28" s="203"/>
      <c r="H28" s="203"/>
      <c r="I28" s="203"/>
    </row>
    <row r="29" spans="1:9">
      <c r="A29" s="200" t="s">
        <v>735</v>
      </c>
      <c r="B29" s="200"/>
      <c r="C29" s="200"/>
      <c r="D29" s="200"/>
      <c r="E29" s="200"/>
      <c r="F29" s="200"/>
      <c r="G29" s="200"/>
      <c r="H29" s="200"/>
      <c r="I29" s="200"/>
    </row>
    <row r="30" spans="1:9">
      <c r="A30" s="17" t="s">
        <v>140</v>
      </c>
      <c r="B30" s="17" t="s">
        <v>242</v>
      </c>
      <c r="C30" s="17" t="s">
        <v>241</v>
      </c>
      <c r="D30" s="17" t="s">
        <v>240</v>
      </c>
      <c r="E30" s="17" t="s">
        <v>239</v>
      </c>
      <c r="F30" s="17" t="s">
        <v>238</v>
      </c>
      <c r="G30" s="17" t="s">
        <v>237</v>
      </c>
      <c r="H30" s="17" t="s">
        <v>236</v>
      </c>
      <c r="I30" s="17" t="s">
        <v>235</v>
      </c>
    </row>
    <row r="31" spans="1:9" ht="39">
      <c r="A31" s="12" t="s">
        <v>736</v>
      </c>
      <c r="B31" s="11" t="s">
        <v>210</v>
      </c>
      <c r="C31" s="11">
        <v>1</v>
      </c>
      <c r="D31" s="11">
        <v>11</v>
      </c>
      <c r="E31" s="11" t="s">
        <v>609</v>
      </c>
      <c r="F31" s="11" t="s">
        <v>225</v>
      </c>
      <c r="G31" s="11" t="s">
        <v>211</v>
      </c>
      <c r="H31" s="11" t="s">
        <v>737</v>
      </c>
      <c r="I31" s="10"/>
    </row>
    <row r="32" spans="1:9" ht="39">
      <c r="A32" s="19" t="s">
        <v>736</v>
      </c>
      <c r="B32" s="8" t="s">
        <v>210</v>
      </c>
      <c r="C32" s="8">
        <v>1</v>
      </c>
      <c r="D32" s="8">
        <v>23</v>
      </c>
      <c r="E32" s="8" t="s">
        <v>609</v>
      </c>
      <c r="F32" s="8" t="s">
        <v>211</v>
      </c>
      <c r="G32" s="8" t="s">
        <v>211</v>
      </c>
      <c r="H32" s="8" t="s">
        <v>738</v>
      </c>
      <c r="I32" s="7"/>
    </row>
    <row r="34" spans="1:9">
      <c r="A34" s="200" t="s">
        <v>739</v>
      </c>
      <c r="B34" s="200"/>
      <c r="C34" s="200"/>
      <c r="D34" s="200"/>
      <c r="E34" s="200"/>
      <c r="F34" s="200"/>
      <c r="G34" s="200"/>
      <c r="H34" s="200"/>
      <c r="I34" s="200"/>
    </row>
    <row r="35" spans="1:9">
      <c r="A35" s="17" t="s">
        <v>140</v>
      </c>
      <c r="B35" s="17" t="s">
        <v>242</v>
      </c>
      <c r="C35" s="17" t="s">
        <v>241</v>
      </c>
      <c r="D35" s="17" t="s">
        <v>240</v>
      </c>
      <c r="E35" s="17" t="s">
        <v>239</v>
      </c>
      <c r="F35" s="17" t="s">
        <v>238</v>
      </c>
      <c r="G35" s="17" t="s">
        <v>237</v>
      </c>
      <c r="H35" s="17" t="s">
        <v>236</v>
      </c>
      <c r="I35" s="17" t="s">
        <v>235</v>
      </c>
    </row>
    <row r="36" spans="1:9" ht="19.5">
      <c r="A36" s="12" t="s">
        <v>740</v>
      </c>
      <c r="B36" s="11" t="s">
        <v>210</v>
      </c>
      <c r="C36" s="11">
        <v>1</v>
      </c>
      <c r="D36" s="11">
        <v>0</v>
      </c>
      <c r="E36" s="11" t="s">
        <v>210</v>
      </c>
      <c r="F36" s="11" t="s">
        <v>211</v>
      </c>
      <c r="G36" s="11" t="s">
        <v>210</v>
      </c>
      <c r="H36" s="11" t="s">
        <v>210</v>
      </c>
      <c r="I36" s="10"/>
    </row>
    <row r="37" spans="1:9" ht="29.25">
      <c r="A37" s="19" t="s">
        <v>740</v>
      </c>
      <c r="B37" s="8" t="s">
        <v>210</v>
      </c>
      <c r="C37" s="8">
        <v>1</v>
      </c>
      <c r="D37" s="8">
        <v>0</v>
      </c>
      <c r="E37" s="8" t="s">
        <v>210</v>
      </c>
      <c r="F37" s="8" t="s">
        <v>211</v>
      </c>
      <c r="G37" s="8" t="s">
        <v>210</v>
      </c>
      <c r="H37" s="8" t="s">
        <v>741</v>
      </c>
      <c r="I37" s="7"/>
    </row>
    <row r="38" spans="1:9">
      <c r="A38" s="203"/>
      <c r="B38" s="203"/>
      <c r="C38" s="203"/>
      <c r="D38" s="203"/>
      <c r="E38" s="203"/>
      <c r="F38" s="203"/>
      <c r="G38" s="203"/>
      <c r="H38" s="203"/>
      <c r="I38" s="203"/>
    </row>
    <row r="39" spans="1:9">
      <c r="A39" s="203"/>
      <c r="B39" s="203"/>
      <c r="C39" s="203"/>
      <c r="D39" s="203"/>
      <c r="E39" s="203"/>
      <c r="F39" s="203"/>
      <c r="G39" s="203"/>
      <c r="H39" s="203"/>
      <c r="I39" s="203"/>
    </row>
    <row r="40" spans="1:9">
      <c r="A40" s="200" t="s">
        <v>742</v>
      </c>
      <c r="B40" s="200"/>
      <c r="C40" s="200"/>
      <c r="D40" s="200"/>
      <c r="E40" s="200"/>
      <c r="F40" s="200"/>
      <c r="G40" s="200"/>
      <c r="H40" s="200"/>
      <c r="I40" s="200"/>
    </row>
    <row r="41" spans="1:9">
      <c r="A41" s="17" t="s">
        <v>140</v>
      </c>
      <c r="B41" s="17" t="s">
        <v>242</v>
      </c>
      <c r="C41" s="17" t="s">
        <v>241</v>
      </c>
      <c r="D41" s="17" t="s">
        <v>240</v>
      </c>
      <c r="E41" s="17" t="s">
        <v>239</v>
      </c>
      <c r="F41" s="17" t="s">
        <v>238</v>
      </c>
      <c r="G41" s="17" t="s">
        <v>237</v>
      </c>
      <c r="H41" s="17" t="s">
        <v>236</v>
      </c>
      <c r="I41" s="17" t="s">
        <v>235</v>
      </c>
    </row>
    <row r="42" spans="1:9" ht="19.5">
      <c r="A42" s="15" t="s">
        <v>743</v>
      </c>
      <c r="B42" s="11">
        <v>7000</v>
      </c>
      <c r="C42" s="11">
        <v>1</v>
      </c>
      <c r="D42" s="11">
        <v>17</v>
      </c>
      <c r="E42" s="11" t="s">
        <v>210</v>
      </c>
      <c r="F42" s="11" t="s">
        <v>225</v>
      </c>
      <c r="G42" s="11" t="s">
        <v>210</v>
      </c>
      <c r="H42" s="11" t="s">
        <v>210</v>
      </c>
      <c r="I42" s="10"/>
    </row>
    <row r="43" spans="1:9" ht="39">
      <c r="A43" s="14" t="s">
        <v>744</v>
      </c>
      <c r="B43" s="8">
        <v>9000</v>
      </c>
      <c r="C43" s="8">
        <v>1</v>
      </c>
      <c r="D43" s="8">
        <v>17</v>
      </c>
      <c r="E43" s="8" t="s">
        <v>210</v>
      </c>
      <c r="F43" s="8" t="s">
        <v>211</v>
      </c>
      <c r="G43" s="8" t="s">
        <v>210</v>
      </c>
      <c r="H43" s="8" t="s">
        <v>745</v>
      </c>
      <c r="I43" s="7"/>
    </row>
    <row r="44" spans="1:9" ht="29.25">
      <c r="A44" s="22" t="s">
        <v>746</v>
      </c>
      <c r="B44" s="11">
        <v>12000</v>
      </c>
      <c r="C44" s="11">
        <v>1</v>
      </c>
      <c r="D44" s="11">
        <v>18</v>
      </c>
      <c r="E44" s="11" t="s">
        <v>210</v>
      </c>
      <c r="F44" s="11" t="s">
        <v>211</v>
      </c>
      <c r="G44" s="11" t="s">
        <v>210</v>
      </c>
      <c r="H44" s="11" t="s">
        <v>747</v>
      </c>
      <c r="I44" s="10"/>
    </row>
    <row r="45" spans="1:9" ht="19.5">
      <c r="A45" s="14" t="s">
        <v>748</v>
      </c>
      <c r="B45" s="8">
        <v>13000</v>
      </c>
      <c r="C45" s="8">
        <v>1</v>
      </c>
      <c r="D45" s="8">
        <v>20</v>
      </c>
      <c r="E45" s="8" t="s">
        <v>210</v>
      </c>
      <c r="F45" s="8" t="s">
        <v>211</v>
      </c>
      <c r="G45" s="8" t="s">
        <v>210</v>
      </c>
      <c r="H45" s="8" t="s">
        <v>749</v>
      </c>
      <c r="I45" s="7"/>
    </row>
    <row r="46" spans="1:9" ht="19.5">
      <c r="A46" s="24" t="s">
        <v>750</v>
      </c>
      <c r="B46" s="11">
        <v>15000</v>
      </c>
      <c r="C46" s="11">
        <v>1</v>
      </c>
      <c r="D46" s="11">
        <v>27</v>
      </c>
      <c r="E46" s="11" t="s">
        <v>283</v>
      </c>
      <c r="F46" s="11" t="s">
        <v>211</v>
      </c>
      <c r="G46" s="11" t="s">
        <v>210</v>
      </c>
      <c r="H46" s="11" t="s">
        <v>751</v>
      </c>
      <c r="I46" s="10"/>
    </row>
    <row r="47" spans="1:9">
      <c r="A47" s="201" t="s">
        <v>752</v>
      </c>
      <c r="B47" s="201"/>
      <c r="C47" s="201"/>
      <c r="D47" s="201"/>
      <c r="E47" s="201"/>
      <c r="F47" s="201"/>
      <c r="G47" s="201"/>
      <c r="H47" s="201"/>
      <c r="I47" s="45"/>
    </row>
    <row r="48" spans="1:9">
      <c r="A48" s="203"/>
      <c r="B48" s="203"/>
      <c r="C48" s="203"/>
      <c r="D48" s="203"/>
      <c r="E48" s="203"/>
      <c r="F48" s="203"/>
      <c r="G48" s="203"/>
      <c r="H48" s="203"/>
      <c r="I48" s="203"/>
    </row>
    <row r="49" spans="1:9">
      <c r="A49" s="203"/>
      <c r="B49" s="203"/>
      <c r="C49" s="203"/>
      <c r="D49" s="203"/>
      <c r="E49" s="203"/>
      <c r="F49" s="203"/>
      <c r="G49" s="203"/>
      <c r="H49" s="203"/>
      <c r="I49" s="203"/>
    </row>
  </sheetData>
  <mergeCells count="40">
    <mergeCell ref="A19:A20"/>
    <mergeCell ref="A1:I1"/>
    <mergeCell ref="B6:B7"/>
    <mergeCell ref="C6:C7"/>
    <mergeCell ref="D6:D7"/>
    <mergeCell ref="E6:E7"/>
    <mergeCell ref="F6:F7"/>
    <mergeCell ref="G6:G7"/>
    <mergeCell ref="H6:H7"/>
    <mergeCell ref="I6:I7"/>
    <mergeCell ref="A9:I9"/>
    <mergeCell ref="A10:I10"/>
    <mergeCell ref="A12:I12"/>
    <mergeCell ref="A16:A17"/>
    <mergeCell ref="G19:G20"/>
    <mergeCell ref="I19:I20"/>
    <mergeCell ref="D16:D17"/>
    <mergeCell ref="E16:E17"/>
    <mergeCell ref="F16:F17"/>
    <mergeCell ref="B19:B20"/>
    <mergeCell ref="C19:C20"/>
    <mergeCell ref="B16:B17"/>
    <mergeCell ref="C16:C17"/>
    <mergeCell ref="D19:D20"/>
    <mergeCell ref="G16:G17"/>
    <mergeCell ref="I16:I17"/>
    <mergeCell ref="A49:I49"/>
    <mergeCell ref="A21:H21"/>
    <mergeCell ref="A23:I23"/>
    <mergeCell ref="A27:I27"/>
    <mergeCell ref="A28:I28"/>
    <mergeCell ref="A29:I29"/>
    <mergeCell ref="A34:I34"/>
    <mergeCell ref="A38:I38"/>
    <mergeCell ref="A39:I39"/>
    <mergeCell ref="A40:I40"/>
    <mergeCell ref="A47:H47"/>
    <mergeCell ref="A48:I48"/>
    <mergeCell ref="E19:E20"/>
    <mergeCell ref="F19:F20"/>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dimension ref="A1:K32"/>
  <sheetViews>
    <sheetView workbookViewId="0">
      <selection activeCell="A12" sqref="A12:C12"/>
    </sheetView>
  </sheetViews>
  <sheetFormatPr defaultRowHeight="15"/>
  <cols>
    <col min="1" max="1" width="18.7109375" bestFit="1" customWidth="1"/>
    <col min="2" max="2" width="51.42578125" bestFit="1" customWidth="1"/>
    <col min="3" max="3" width="25" bestFit="1" customWidth="1"/>
  </cols>
  <sheetData>
    <row r="1" spans="1:11">
      <c r="A1" s="1" t="s">
        <v>172</v>
      </c>
      <c r="B1" t="s">
        <v>190</v>
      </c>
      <c r="G1" t="s">
        <v>758</v>
      </c>
      <c r="H1" t="s">
        <v>755</v>
      </c>
      <c r="I1" t="s">
        <v>763</v>
      </c>
      <c r="J1" t="s">
        <v>756</v>
      </c>
      <c r="K1" t="s">
        <v>759</v>
      </c>
    </row>
    <row r="2" spans="1:11">
      <c r="A2" s="1" t="s">
        <v>174</v>
      </c>
      <c r="B2" t="s">
        <v>187</v>
      </c>
      <c r="F2" t="s">
        <v>132</v>
      </c>
      <c r="G2">
        <v>7</v>
      </c>
      <c r="H2">
        <v>8</v>
      </c>
      <c r="I2">
        <v>10</v>
      </c>
      <c r="J2">
        <v>12</v>
      </c>
      <c r="K2">
        <v>13</v>
      </c>
    </row>
    <row r="3" spans="1:11">
      <c r="A3" s="1" t="s">
        <v>175</v>
      </c>
      <c r="B3" t="s">
        <v>188</v>
      </c>
      <c r="F3" t="s">
        <v>133</v>
      </c>
      <c r="G3">
        <v>4</v>
      </c>
      <c r="H3">
        <v>6</v>
      </c>
      <c r="I3">
        <v>8</v>
      </c>
      <c r="J3">
        <v>10</v>
      </c>
      <c r="K3">
        <v>12</v>
      </c>
    </row>
    <row r="4" spans="1:11">
      <c r="A4" s="1" t="s">
        <v>182</v>
      </c>
      <c r="B4" t="s">
        <v>189</v>
      </c>
      <c r="C4" t="s">
        <v>183</v>
      </c>
      <c r="F4" t="s">
        <v>134</v>
      </c>
      <c r="G4">
        <v>3</v>
      </c>
      <c r="H4">
        <v>4</v>
      </c>
      <c r="I4">
        <v>5</v>
      </c>
      <c r="J4">
        <v>6</v>
      </c>
      <c r="K4">
        <v>7</v>
      </c>
    </row>
    <row r="5" spans="1:11">
      <c r="A5" s="1" t="s">
        <v>176</v>
      </c>
      <c r="B5" t="s">
        <v>177</v>
      </c>
      <c r="F5" t="s">
        <v>135</v>
      </c>
      <c r="G5">
        <v>4</v>
      </c>
      <c r="H5">
        <v>5</v>
      </c>
      <c r="I5">
        <v>6</v>
      </c>
      <c r="J5">
        <v>7</v>
      </c>
      <c r="K5">
        <v>8</v>
      </c>
    </row>
    <row r="6" spans="1:11">
      <c r="A6" s="1" t="s">
        <v>181</v>
      </c>
      <c r="B6" t="s">
        <v>193</v>
      </c>
      <c r="F6" t="s">
        <v>136</v>
      </c>
      <c r="G6">
        <v>4</v>
      </c>
      <c r="H6">
        <v>5</v>
      </c>
      <c r="I6">
        <v>6</v>
      </c>
      <c r="J6">
        <v>7</v>
      </c>
      <c r="K6">
        <v>8</v>
      </c>
    </row>
    <row r="7" spans="1:11">
      <c r="A7" s="1" t="s">
        <v>184</v>
      </c>
      <c r="B7" t="s">
        <v>194</v>
      </c>
      <c r="F7" t="s">
        <v>825</v>
      </c>
      <c r="G7" s="49" t="s">
        <v>826</v>
      </c>
      <c r="H7">
        <v>4</v>
      </c>
      <c r="I7">
        <v>5</v>
      </c>
      <c r="J7">
        <v>6</v>
      </c>
      <c r="K7" s="49" t="s">
        <v>826</v>
      </c>
    </row>
    <row r="8" spans="1:11">
      <c r="A8" s="1" t="s">
        <v>179</v>
      </c>
      <c r="B8" t="s">
        <v>195</v>
      </c>
      <c r="C8" t="s">
        <v>180</v>
      </c>
    </row>
    <row r="9" spans="1:11">
      <c r="A9" s="1" t="s">
        <v>178</v>
      </c>
      <c r="B9" t="s">
        <v>777</v>
      </c>
      <c r="C9" t="s">
        <v>882</v>
      </c>
    </row>
    <row r="10" spans="1:11">
      <c r="A10" s="1" t="s">
        <v>173</v>
      </c>
      <c r="B10" t="s">
        <v>198</v>
      </c>
      <c r="C10" t="s">
        <v>197</v>
      </c>
    </row>
    <row r="11" spans="1:11">
      <c r="A11" s="1" t="s">
        <v>171</v>
      </c>
      <c r="B11" t="s">
        <v>196</v>
      </c>
      <c r="C11" t="s">
        <v>881</v>
      </c>
    </row>
    <row r="12" spans="1:11">
      <c r="A12" s="1"/>
    </row>
    <row r="15" spans="1:11">
      <c r="A15" s="1" t="s">
        <v>915</v>
      </c>
      <c r="B15" t="s">
        <v>916</v>
      </c>
    </row>
    <row r="16" spans="1:11">
      <c r="A16" s="1" t="s">
        <v>917</v>
      </c>
      <c r="B16" t="s">
        <v>974</v>
      </c>
    </row>
    <row r="17" spans="1:2">
      <c r="A17" s="1" t="s">
        <v>918</v>
      </c>
      <c r="B17" t="s">
        <v>919</v>
      </c>
    </row>
    <row r="18" spans="1:2">
      <c r="A18" s="1" t="s">
        <v>920</v>
      </c>
      <c r="B18" t="s">
        <v>975</v>
      </c>
    </row>
    <row r="20" spans="1:2">
      <c r="A20" s="1" t="s">
        <v>948</v>
      </c>
      <c r="B20" t="s">
        <v>952</v>
      </c>
    </row>
    <row r="21" spans="1:2">
      <c r="A21" s="1" t="s">
        <v>949</v>
      </c>
      <c r="B21" t="s">
        <v>990</v>
      </c>
    </row>
    <row r="22" spans="1:2">
      <c r="A22" s="1" t="s">
        <v>950</v>
      </c>
      <c r="B22" t="s">
        <v>953</v>
      </c>
    </row>
    <row r="23" spans="1:2">
      <c r="A23" s="1" t="s">
        <v>951</v>
      </c>
      <c r="B23" t="s">
        <v>954</v>
      </c>
    </row>
    <row r="26" spans="1:2">
      <c r="A26" t="s">
        <v>809</v>
      </c>
    </row>
    <row r="27" spans="1:2">
      <c r="A27" t="s">
        <v>810</v>
      </c>
    </row>
    <row r="28" spans="1:2">
      <c r="A28" t="s">
        <v>811</v>
      </c>
    </row>
    <row r="29" spans="1:2">
      <c r="A29" t="s">
        <v>812</v>
      </c>
    </row>
    <row r="30" spans="1:2">
      <c r="A30" t="s">
        <v>813</v>
      </c>
    </row>
    <row r="31" spans="1:2">
      <c r="A31" t="s">
        <v>814</v>
      </c>
    </row>
    <row r="32" spans="1:2">
      <c r="A32" t="s">
        <v>815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U22"/>
  <sheetViews>
    <sheetView workbookViewId="0">
      <selection activeCell="A6" sqref="A6:XFD6"/>
    </sheetView>
  </sheetViews>
  <sheetFormatPr defaultRowHeight="15"/>
  <cols>
    <col min="1" max="1" width="14.5703125" style="183" bestFit="1" customWidth="1"/>
    <col min="2" max="4" width="7.7109375" style="28" bestFit="1" customWidth="1"/>
    <col min="5" max="5" width="6.7109375" style="28" bestFit="1" customWidth="1"/>
    <col min="6" max="6" width="7.7109375" style="28" bestFit="1" customWidth="1"/>
    <col min="7" max="7" width="4.140625" style="28" bestFit="1" customWidth="1"/>
    <col min="8" max="8" width="4.5703125" style="28" bestFit="1" customWidth="1"/>
    <col min="9" max="9" width="4.28515625" style="28" bestFit="1" customWidth="1"/>
    <col min="10" max="10" width="4.7109375" style="28" bestFit="1" customWidth="1"/>
    <col min="11" max="11" width="4.42578125" style="149" bestFit="1" customWidth="1"/>
    <col min="12" max="12" width="3.7109375" style="149" bestFit="1" customWidth="1"/>
    <col min="13" max="13" width="5.85546875" style="149" bestFit="1" customWidth="1"/>
    <col min="14" max="14" width="4.5703125" style="149" bestFit="1" customWidth="1"/>
    <col min="15" max="15" width="5.28515625" style="149" bestFit="1" customWidth="1"/>
    <col min="16" max="16" width="5" style="149" bestFit="1" customWidth="1"/>
    <col min="17" max="17" width="10.7109375" style="144" bestFit="1" customWidth="1"/>
    <col min="18" max="18" width="16.85546875" style="145" bestFit="1" customWidth="1"/>
    <col min="19" max="19" width="18" style="145" bestFit="1" customWidth="1"/>
    <col min="20" max="16384" width="9.140625" style="145"/>
  </cols>
  <sheetData>
    <row r="1" spans="1:21" ht="15.75" thickBot="1">
      <c r="B1" s="192" t="s">
        <v>986</v>
      </c>
      <c r="C1" s="193"/>
      <c r="D1" s="193"/>
      <c r="E1" s="193"/>
      <c r="F1" s="194"/>
      <c r="G1" s="192" t="s">
        <v>987</v>
      </c>
      <c r="H1" s="193"/>
      <c r="I1" s="193"/>
      <c r="J1" s="194"/>
      <c r="K1" s="195" t="s">
        <v>985</v>
      </c>
      <c r="L1" s="196"/>
      <c r="M1" s="196"/>
      <c r="N1" s="196"/>
      <c r="O1" s="196"/>
      <c r="P1" s="197"/>
      <c r="R1" s="143" t="s">
        <v>861</v>
      </c>
    </row>
    <row r="2" spans="1:21">
      <c r="B2" s="185" t="s">
        <v>132</v>
      </c>
      <c r="C2" s="186" t="s">
        <v>133</v>
      </c>
      <c r="D2" s="186" t="s">
        <v>134</v>
      </c>
      <c r="E2" s="186" t="s">
        <v>135</v>
      </c>
      <c r="F2" s="187" t="s">
        <v>136</v>
      </c>
      <c r="G2" s="185" t="s">
        <v>827</v>
      </c>
      <c r="H2" s="186" t="s">
        <v>855</v>
      </c>
      <c r="I2" s="186" t="s">
        <v>856</v>
      </c>
      <c r="J2" s="187" t="s">
        <v>857</v>
      </c>
      <c r="K2" s="172" t="s">
        <v>150</v>
      </c>
      <c r="L2" s="168" t="s">
        <v>145</v>
      </c>
      <c r="M2" s="168" t="s">
        <v>146</v>
      </c>
      <c r="N2" s="168" t="s">
        <v>988</v>
      </c>
      <c r="O2" s="168" t="s">
        <v>148</v>
      </c>
      <c r="P2" s="173" t="s">
        <v>147</v>
      </c>
    </row>
    <row r="3" spans="1:21">
      <c r="A3" s="184" t="s">
        <v>1</v>
      </c>
      <c r="B3" s="150" t="s">
        <v>977</v>
      </c>
      <c r="C3" s="151"/>
      <c r="D3" s="151"/>
      <c r="E3" s="151"/>
      <c r="F3" s="152" t="s">
        <v>977</v>
      </c>
      <c r="G3" s="161"/>
      <c r="H3" s="154">
        <v>1</v>
      </c>
      <c r="I3" s="151"/>
      <c r="J3" s="156"/>
      <c r="K3" s="174"/>
      <c r="L3" s="169"/>
      <c r="M3" s="169">
        <v>-5</v>
      </c>
      <c r="N3" s="169">
        <v>-5</v>
      </c>
      <c r="O3" s="169"/>
      <c r="P3" s="175"/>
    </row>
    <row r="4" spans="1:21">
      <c r="A4" s="184" t="s">
        <v>2</v>
      </c>
      <c r="B4" s="153" t="s">
        <v>976</v>
      </c>
      <c r="C4" s="154" t="s">
        <v>977</v>
      </c>
      <c r="D4" s="151"/>
      <c r="E4" s="155" t="s">
        <v>976</v>
      </c>
      <c r="F4" s="152" t="s">
        <v>977</v>
      </c>
      <c r="G4" s="150">
        <v>2</v>
      </c>
      <c r="H4" s="151"/>
      <c r="I4" s="151"/>
      <c r="J4" s="160">
        <v>1</v>
      </c>
      <c r="K4" s="176"/>
      <c r="L4" s="170"/>
      <c r="M4" s="170"/>
      <c r="N4" s="170"/>
      <c r="O4" s="170"/>
      <c r="P4" s="177"/>
    </row>
    <row r="5" spans="1:21">
      <c r="A5" s="184" t="s">
        <v>3</v>
      </c>
      <c r="B5" s="150" t="s">
        <v>977</v>
      </c>
      <c r="C5" s="151"/>
      <c r="D5" s="154" t="s">
        <v>977</v>
      </c>
      <c r="E5" s="151"/>
      <c r="F5" s="156"/>
      <c r="G5" s="161"/>
      <c r="H5" s="155">
        <v>1</v>
      </c>
      <c r="I5" s="151"/>
      <c r="J5" s="152">
        <v>1</v>
      </c>
      <c r="K5" s="176"/>
      <c r="L5" s="170"/>
      <c r="M5" s="170"/>
      <c r="N5" s="170"/>
      <c r="O5" s="170"/>
      <c r="P5" s="177"/>
      <c r="Q5" s="146"/>
    </row>
    <row r="6" spans="1:21">
      <c r="A6" s="184" t="s">
        <v>70</v>
      </c>
      <c r="B6" s="157" t="s">
        <v>978</v>
      </c>
      <c r="C6" s="158" t="s">
        <v>978</v>
      </c>
      <c r="D6" s="158" t="s">
        <v>978</v>
      </c>
      <c r="E6" s="158" t="s">
        <v>978</v>
      </c>
      <c r="F6" s="159" t="s">
        <v>978</v>
      </c>
      <c r="G6" s="157" t="s">
        <v>978</v>
      </c>
      <c r="H6" s="158" t="s">
        <v>978</v>
      </c>
      <c r="I6" s="158" t="s">
        <v>978</v>
      </c>
      <c r="J6" s="159" t="s">
        <v>978</v>
      </c>
      <c r="K6" s="178">
        <v>25</v>
      </c>
      <c r="L6" s="169">
        <v>-25</v>
      </c>
      <c r="M6" s="171"/>
      <c r="N6" s="171"/>
      <c r="O6" s="171"/>
      <c r="P6" s="179"/>
      <c r="R6" s="145" t="s">
        <v>981</v>
      </c>
      <c r="S6" s="145" t="s">
        <v>984</v>
      </c>
      <c r="U6" s="145" t="s">
        <v>138</v>
      </c>
    </row>
    <row r="7" spans="1:21">
      <c r="A7" s="184" t="s">
        <v>4</v>
      </c>
      <c r="B7" s="150" t="s">
        <v>977</v>
      </c>
      <c r="C7" s="155"/>
      <c r="D7" s="151"/>
      <c r="E7" s="154" t="s">
        <v>977</v>
      </c>
      <c r="F7" s="160" t="s">
        <v>976</v>
      </c>
      <c r="G7" s="161"/>
      <c r="H7" s="151"/>
      <c r="I7" s="151"/>
      <c r="J7" s="156"/>
      <c r="K7" s="178">
        <v>10</v>
      </c>
      <c r="L7" s="169">
        <v>-10</v>
      </c>
      <c r="M7" s="171"/>
      <c r="N7" s="171"/>
      <c r="O7" s="171"/>
      <c r="P7" s="179"/>
    </row>
    <row r="8" spans="1:21">
      <c r="A8" s="184" t="s">
        <v>5</v>
      </c>
      <c r="B8" s="161"/>
      <c r="C8" s="155" t="s">
        <v>976</v>
      </c>
      <c r="D8" s="151"/>
      <c r="E8" s="154" t="s">
        <v>977</v>
      </c>
      <c r="F8" s="160" t="s">
        <v>976</v>
      </c>
      <c r="G8" s="161"/>
      <c r="H8" s="151"/>
      <c r="I8" s="151"/>
      <c r="J8" s="152">
        <v>1</v>
      </c>
      <c r="K8" s="176"/>
      <c r="L8" s="170"/>
      <c r="M8" s="170"/>
      <c r="N8" s="170"/>
      <c r="O8" s="170"/>
      <c r="P8" s="177"/>
    </row>
    <row r="9" spans="1:21">
      <c r="A9" s="184" t="s">
        <v>6</v>
      </c>
      <c r="B9" s="153" t="s">
        <v>976</v>
      </c>
      <c r="C9" s="154" t="s">
        <v>977</v>
      </c>
      <c r="D9" s="155" t="s">
        <v>976</v>
      </c>
      <c r="E9" s="151"/>
      <c r="F9" s="152" t="s">
        <v>979</v>
      </c>
      <c r="G9" s="161"/>
      <c r="H9" s="151"/>
      <c r="I9" s="154">
        <v>1</v>
      </c>
      <c r="J9" s="156"/>
      <c r="K9" s="176"/>
      <c r="L9" s="170"/>
      <c r="M9" s="170"/>
      <c r="N9" s="170"/>
      <c r="O9" s="170"/>
      <c r="P9" s="177"/>
    </row>
    <row r="10" spans="1:21">
      <c r="A10" s="184" t="s">
        <v>7</v>
      </c>
      <c r="B10" s="161"/>
      <c r="C10" s="151"/>
      <c r="D10" s="151"/>
      <c r="E10" s="155" t="s">
        <v>976</v>
      </c>
      <c r="F10" s="152" t="s">
        <v>977</v>
      </c>
      <c r="G10" s="150">
        <v>1</v>
      </c>
      <c r="H10" s="154">
        <v>1</v>
      </c>
      <c r="I10" s="151"/>
      <c r="J10" s="156"/>
      <c r="K10" s="176"/>
      <c r="L10" s="170"/>
      <c r="M10" s="170"/>
      <c r="N10" s="170"/>
      <c r="O10" s="170"/>
      <c r="P10" s="177"/>
    </row>
    <row r="11" spans="1:21">
      <c r="A11" s="184" t="s">
        <v>14</v>
      </c>
      <c r="B11" s="157" t="s">
        <v>978</v>
      </c>
      <c r="C11" s="158" t="s">
        <v>978</v>
      </c>
      <c r="D11" s="158" t="s">
        <v>978</v>
      </c>
      <c r="E11" s="158" t="s">
        <v>978</v>
      </c>
      <c r="F11" s="159" t="s">
        <v>978</v>
      </c>
      <c r="G11" s="157" t="s">
        <v>978</v>
      </c>
      <c r="H11" s="158" t="s">
        <v>978</v>
      </c>
      <c r="I11" s="158" t="s">
        <v>978</v>
      </c>
      <c r="J11" s="159" t="s">
        <v>978</v>
      </c>
      <c r="K11" s="178">
        <v>5</v>
      </c>
      <c r="L11" s="171">
        <v>5</v>
      </c>
      <c r="M11" s="171">
        <v>5</v>
      </c>
      <c r="N11" s="171">
        <v>5</v>
      </c>
      <c r="O11" s="171">
        <v>5</v>
      </c>
      <c r="P11" s="175">
        <v>-25</v>
      </c>
      <c r="R11" s="145" t="s">
        <v>982</v>
      </c>
      <c r="S11" s="145" t="s">
        <v>984</v>
      </c>
      <c r="U11" s="145" t="s">
        <v>138</v>
      </c>
    </row>
    <row r="12" spans="1:21">
      <c r="A12" s="184" t="s">
        <v>13</v>
      </c>
      <c r="B12" s="153" t="s">
        <v>976</v>
      </c>
      <c r="C12" s="154"/>
      <c r="D12" s="155" t="s">
        <v>976</v>
      </c>
      <c r="E12" s="155" t="s">
        <v>976</v>
      </c>
      <c r="F12" s="152" t="s">
        <v>977</v>
      </c>
      <c r="G12" s="150">
        <v>1</v>
      </c>
      <c r="H12" s="154"/>
      <c r="I12" s="154"/>
      <c r="J12" s="152">
        <v>1</v>
      </c>
      <c r="K12" s="178">
        <v>5</v>
      </c>
      <c r="L12" s="171">
        <v>5</v>
      </c>
      <c r="M12" s="171">
        <v>5</v>
      </c>
      <c r="N12" s="171">
        <v>5</v>
      </c>
      <c r="O12" s="171">
        <v>5</v>
      </c>
      <c r="P12" s="179">
        <v>5</v>
      </c>
      <c r="Q12" s="146"/>
    </row>
    <row r="13" spans="1:21">
      <c r="A13" s="184" t="s">
        <v>16</v>
      </c>
      <c r="B13" s="157" t="s">
        <v>978</v>
      </c>
      <c r="C13" s="158" t="s">
        <v>978</v>
      </c>
      <c r="D13" s="158" t="s">
        <v>978</v>
      </c>
      <c r="E13" s="158" t="s">
        <v>978</v>
      </c>
      <c r="F13" s="159" t="s">
        <v>978</v>
      </c>
      <c r="G13" s="157" t="s">
        <v>978</v>
      </c>
      <c r="H13" s="158" t="s">
        <v>978</v>
      </c>
      <c r="I13" s="158" t="s">
        <v>978</v>
      </c>
      <c r="J13" s="159" t="s">
        <v>978</v>
      </c>
      <c r="K13" s="174">
        <v>-25</v>
      </c>
      <c r="L13" s="171">
        <v>25</v>
      </c>
      <c r="M13" s="171"/>
      <c r="N13" s="171">
        <v>10</v>
      </c>
      <c r="O13" s="171"/>
      <c r="P13" s="179"/>
      <c r="Q13" s="146"/>
      <c r="R13" s="145" t="s">
        <v>983</v>
      </c>
      <c r="S13" s="145" t="s">
        <v>984</v>
      </c>
      <c r="U13" s="145" t="s">
        <v>138</v>
      </c>
    </row>
    <row r="14" spans="1:21">
      <c r="A14" s="184" t="s">
        <v>8</v>
      </c>
      <c r="B14" s="161"/>
      <c r="C14" s="155" t="s">
        <v>976</v>
      </c>
      <c r="D14" s="154"/>
      <c r="E14" s="154" t="s">
        <v>977</v>
      </c>
      <c r="F14" s="160" t="s">
        <v>976</v>
      </c>
      <c r="G14" s="161"/>
      <c r="H14" s="155">
        <v>1</v>
      </c>
      <c r="I14" s="154">
        <v>1</v>
      </c>
      <c r="J14" s="156"/>
      <c r="K14" s="178"/>
      <c r="L14" s="171"/>
      <c r="M14" s="171">
        <v>5</v>
      </c>
      <c r="N14" s="171"/>
      <c r="O14" s="171"/>
      <c r="P14" s="179"/>
    </row>
    <row r="15" spans="1:21">
      <c r="A15" s="184" t="s">
        <v>9</v>
      </c>
      <c r="B15" s="153" t="s">
        <v>976</v>
      </c>
      <c r="C15" s="151"/>
      <c r="D15" s="151"/>
      <c r="E15" s="151"/>
      <c r="F15" s="152" t="s">
        <v>977</v>
      </c>
      <c r="G15" s="150">
        <v>1</v>
      </c>
      <c r="H15" s="154"/>
      <c r="I15" s="151"/>
      <c r="J15" s="156"/>
      <c r="K15" s="176"/>
      <c r="L15" s="170"/>
      <c r="M15" s="170"/>
      <c r="N15" s="170"/>
      <c r="O15" s="170"/>
      <c r="P15" s="177"/>
    </row>
    <row r="16" spans="1:21">
      <c r="A16" s="184" t="s">
        <v>0</v>
      </c>
      <c r="B16" s="150" t="s">
        <v>979</v>
      </c>
      <c r="C16" s="151"/>
      <c r="D16" s="151"/>
      <c r="E16" s="151"/>
      <c r="F16" s="156"/>
      <c r="G16" s="161"/>
      <c r="H16" s="151"/>
      <c r="I16" s="151"/>
      <c r="J16" s="156"/>
      <c r="K16" s="176"/>
      <c r="L16" s="170"/>
      <c r="M16" s="170"/>
      <c r="N16" s="170"/>
      <c r="O16" s="170"/>
      <c r="P16" s="177"/>
    </row>
    <row r="17" spans="1:21">
      <c r="A17" s="184" t="s">
        <v>10</v>
      </c>
      <c r="B17" s="153" t="s">
        <v>976</v>
      </c>
      <c r="C17" s="154" t="s">
        <v>977</v>
      </c>
      <c r="D17" s="151"/>
      <c r="E17" s="155" t="s">
        <v>976</v>
      </c>
      <c r="F17" s="160" t="s">
        <v>976</v>
      </c>
      <c r="G17" s="150">
        <v>1</v>
      </c>
      <c r="H17" s="151"/>
      <c r="I17" s="151"/>
      <c r="J17" s="156"/>
      <c r="K17" s="178">
        <v>10</v>
      </c>
      <c r="L17" s="171">
        <v>10</v>
      </c>
      <c r="M17" s="171">
        <v>10</v>
      </c>
      <c r="N17" s="171">
        <v>10</v>
      </c>
      <c r="O17" s="171">
        <v>10</v>
      </c>
      <c r="P17" s="179">
        <v>10</v>
      </c>
    </row>
    <row r="18" spans="1:21">
      <c r="A18" s="184" t="s">
        <v>73</v>
      </c>
      <c r="B18" s="161"/>
      <c r="C18" s="151"/>
      <c r="D18" s="154" t="s">
        <v>977</v>
      </c>
      <c r="E18" s="151"/>
      <c r="F18" s="156"/>
      <c r="G18" s="161"/>
      <c r="H18" s="151"/>
      <c r="I18" s="151"/>
      <c r="J18" s="152">
        <v>1</v>
      </c>
      <c r="K18" s="176"/>
      <c r="L18" s="170"/>
      <c r="M18" s="170"/>
      <c r="N18" s="170"/>
      <c r="O18" s="170"/>
      <c r="P18" s="177"/>
    </row>
    <row r="19" spans="1:21">
      <c r="A19" s="184" t="s">
        <v>11</v>
      </c>
      <c r="B19" s="161"/>
      <c r="C19" s="154" t="s">
        <v>979</v>
      </c>
      <c r="D19" s="155" t="s">
        <v>980</v>
      </c>
      <c r="E19" s="151"/>
      <c r="F19" s="156"/>
      <c r="G19" s="150">
        <v>1</v>
      </c>
      <c r="H19" s="154">
        <v>1</v>
      </c>
      <c r="I19" s="155">
        <v>1</v>
      </c>
      <c r="J19" s="156"/>
      <c r="K19" s="178">
        <v>5</v>
      </c>
      <c r="L19" s="171">
        <v>5</v>
      </c>
      <c r="M19" s="171">
        <v>5</v>
      </c>
      <c r="N19" s="171">
        <v>5</v>
      </c>
      <c r="O19" s="171">
        <v>5</v>
      </c>
      <c r="P19" s="179">
        <v>5</v>
      </c>
    </row>
    <row r="20" spans="1:21">
      <c r="A20" s="184" t="s">
        <v>12</v>
      </c>
      <c r="B20" s="153" t="s">
        <v>976</v>
      </c>
      <c r="C20" s="5" t="s">
        <v>976</v>
      </c>
      <c r="D20" s="151"/>
      <c r="E20" s="155" t="s">
        <v>976</v>
      </c>
      <c r="F20" s="152" t="s">
        <v>977</v>
      </c>
      <c r="G20" s="150">
        <v>1</v>
      </c>
      <c r="H20" s="154">
        <v>1</v>
      </c>
      <c r="I20" s="154">
        <v>1</v>
      </c>
      <c r="J20" s="152"/>
      <c r="K20" s="176"/>
      <c r="L20" s="170"/>
      <c r="M20" s="170"/>
      <c r="N20" s="170"/>
      <c r="O20" s="170"/>
      <c r="P20" s="177"/>
      <c r="Q20" s="146"/>
    </row>
    <row r="21" spans="1:21">
      <c r="A21" s="184" t="s">
        <v>15</v>
      </c>
      <c r="B21" s="157" t="s">
        <v>978</v>
      </c>
      <c r="C21" s="158" t="s">
        <v>978</v>
      </c>
      <c r="D21" s="158" t="s">
        <v>978</v>
      </c>
      <c r="E21" s="158" t="s">
        <v>978</v>
      </c>
      <c r="F21" s="159" t="s">
        <v>978</v>
      </c>
      <c r="G21" s="157" t="s">
        <v>978</v>
      </c>
      <c r="H21" s="158" t="s">
        <v>978</v>
      </c>
      <c r="I21" s="158" t="s">
        <v>978</v>
      </c>
      <c r="J21" s="159" t="s">
        <v>978</v>
      </c>
      <c r="K21" s="178">
        <v>10</v>
      </c>
      <c r="L21" s="171">
        <v>10</v>
      </c>
      <c r="M21" s="171">
        <v>10</v>
      </c>
      <c r="N21" s="169">
        <v>-25</v>
      </c>
      <c r="O21" s="169"/>
      <c r="P21" s="175"/>
      <c r="Q21" s="146"/>
      <c r="U21" s="145" t="s">
        <v>138</v>
      </c>
    </row>
    <row r="22" spans="1:21" ht="15.75" thickBot="1">
      <c r="A22" s="184" t="s">
        <v>74</v>
      </c>
      <c r="B22" s="162"/>
      <c r="C22" s="163" t="s">
        <v>976</v>
      </c>
      <c r="D22" s="164" t="s">
        <v>977</v>
      </c>
      <c r="E22" s="165"/>
      <c r="F22" s="166" t="s">
        <v>977</v>
      </c>
      <c r="G22" s="162"/>
      <c r="H22" s="165"/>
      <c r="I22" s="165"/>
      <c r="J22" s="167"/>
      <c r="K22" s="180"/>
      <c r="L22" s="181"/>
      <c r="M22" s="181"/>
      <c r="N22" s="181"/>
      <c r="O22" s="181"/>
      <c r="P22" s="182"/>
    </row>
  </sheetData>
  <sortState ref="A2:P21">
    <sortCondition ref="A2"/>
  </sortState>
  <mergeCells count="3">
    <mergeCell ref="B1:F1"/>
    <mergeCell ref="G1:J1"/>
    <mergeCell ref="K1:P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R31"/>
  <sheetViews>
    <sheetView workbookViewId="0">
      <selection activeCell="A25" sqref="A25:XFD25"/>
    </sheetView>
  </sheetViews>
  <sheetFormatPr defaultRowHeight="15"/>
  <cols>
    <col min="1" max="1" width="13.28515625" bestFit="1" customWidth="1"/>
    <col min="2" max="2" width="22.5703125" bestFit="1" customWidth="1"/>
    <col min="3" max="3" width="14.42578125" bestFit="1" customWidth="1"/>
    <col min="4" max="4" width="25" bestFit="1" customWidth="1"/>
    <col min="5" max="5" width="14.7109375" bestFit="1" customWidth="1"/>
    <col min="6" max="6" width="27.5703125" bestFit="1" customWidth="1"/>
    <col min="7" max="7" width="26.42578125" bestFit="1" customWidth="1"/>
    <col min="8" max="8" width="10" bestFit="1" customWidth="1"/>
    <col min="9" max="9" width="12.85546875" bestFit="1" customWidth="1"/>
    <col min="10" max="10" width="8" bestFit="1" customWidth="1"/>
    <col min="11" max="11" width="6" bestFit="1" customWidth="1"/>
    <col min="12" max="12" width="8" bestFit="1" customWidth="1"/>
    <col min="13" max="13" width="6.5703125" style="4" bestFit="1" customWidth="1"/>
    <col min="14" max="14" width="6" style="4" bestFit="1" customWidth="1"/>
    <col min="15" max="15" width="4.42578125" style="4" bestFit="1" customWidth="1"/>
    <col min="16" max="16" width="5.7109375" style="4" bestFit="1" customWidth="1"/>
    <col min="17" max="17" width="7.85546875" style="4" bestFit="1" customWidth="1"/>
    <col min="18" max="18" width="5.5703125" style="4" bestFit="1" customWidth="1"/>
  </cols>
  <sheetData>
    <row r="1" spans="1:18" s="1" customFormat="1">
      <c r="A1" s="6" t="s">
        <v>1009</v>
      </c>
      <c r="B1" s="6" t="s">
        <v>1012</v>
      </c>
      <c r="C1" s="6" t="s">
        <v>1010</v>
      </c>
      <c r="D1" s="6" t="s">
        <v>1012</v>
      </c>
      <c r="E1" s="6" t="s">
        <v>1011</v>
      </c>
      <c r="F1" s="6" t="s">
        <v>1012</v>
      </c>
      <c r="G1" s="6" t="s">
        <v>1008</v>
      </c>
      <c r="H1" s="1" t="s">
        <v>1007</v>
      </c>
    </row>
    <row r="2" spans="1:18">
      <c r="A2" s="4" t="s">
        <v>25</v>
      </c>
      <c r="B2" s="4" t="s">
        <v>1013</v>
      </c>
      <c r="C2" s="4" t="s">
        <v>37</v>
      </c>
      <c r="D2" s="4" t="s">
        <v>1016</v>
      </c>
      <c r="E2" s="4" t="s">
        <v>38</v>
      </c>
      <c r="F2" s="4" t="s">
        <v>1023</v>
      </c>
      <c r="G2" s="6" t="s">
        <v>115</v>
      </c>
      <c r="H2" t="s">
        <v>90</v>
      </c>
      <c r="I2" t="s">
        <v>91</v>
      </c>
      <c r="J2" t="s">
        <v>92</v>
      </c>
      <c r="M2"/>
      <c r="N2"/>
      <c r="O2"/>
      <c r="P2"/>
      <c r="Q2"/>
      <c r="R2"/>
    </row>
    <row r="3" spans="1:18">
      <c r="A3" s="4" t="s">
        <v>34</v>
      </c>
      <c r="B3" s="4" t="s">
        <v>1013</v>
      </c>
      <c r="C3" s="4" t="s">
        <v>35</v>
      </c>
      <c r="D3" s="4" t="s">
        <v>1016</v>
      </c>
      <c r="E3" s="4" t="s">
        <v>36</v>
      </c>
      <c r="F3" s="4" t="s">
        <v>1023</v>
      </c>
      <c r="G3" s="6" t="s">
        <v>115</v>
      </c>
      <c r="H3" t="s">
        <v>90</v>
      </c>
      <c r="I3" t="s">
        <v>91</v>
      </c>
      <c r="J3" t="s">
        <v>92</v>
      </c>
      <c r="M3"/>
      <c r="N3"/>
      <c r="O3"/>
      <c r="P3"/>
      <c r="Q3"/>
      <c r="R3"/>
    </row>
    <row r="4" spans="1:18">
      <c r="A4" s="5" t="s">
        <v>66</v>
      </c>
      <c r="B4" s="4" t="s">
        <v>1013</v>
      </c>
      <c r="C4" s="4" t="s">
        <v>39</v>
      </c>
      <c r="D4" s="4" t="s">
        <v>1016</v>
      </c>
      <c r="E4" s="4" t="s">
        <v>31</v>
      </c>
      <c r="F4" s="4" t="s">
        <v>1023</v>
      </c>
      <c r="G4" s="6" t="s">
        <v>116</v>
      </c>
      <c r="H4" t="s">
        <v>95</v>
      </c>
      <c r="I4" t="s">
        <v>96</v>
      </c>
      <c r="J4" t="s">
        <v>94</v>
      </c>
      <c r="K4" t="s">
        <v>108</v>
      </c>
      <c r="L4" t="s">
        <v>97</v>
      </c>
      <c r="M4" t="s">
        <v>98</v>
      </c>
      <c r="N4" t="s">
        <v>99</v>
      </c>
      <c r="O4" t="s">
        <v>111</v>
      </c>
      <c r="P4" t="s">
        <v>112</v>
      </c>
      <c r="Q4" t="s">
        <v>113</v>
      </c>
      <c r="R4" t="s">
        <v>114</v>
      </c>
    </row>
    <row r="5" spans="1:18">
      <c r="A5" s="5" t="s">
        <v>68</v>
      </c>
      <c r="B5" s="4" t="s">
        <v>1013</v>
      </c>
      <c r="C5" s="4" t="s">
        <v>40</v>
      </c>
      <c r="D5" s="4" t="s">
        <v>1016</v>
      </c>
      <c r="E5" s="4" t="s">
        <v>67</v>
      </c>
      <c r="F5" s="4" t="s">
        <v>1023</v>
      </c>
      <c r="G5" s="6" t="s">
        <v>117</v>
      </c>
      <c r="H5" t="s">
        <v>95</v>
      </c>
      <c r="I5" t="s">
        <v>96</v>
      </c>
      <c r="J5" t="s">
        <v>94</v>
      </c>
      <c r="K5" t="s">
        <v>108</v>
      </c>
      <c r="L5" t="s">
        <v>97</v>
      </c>
      <c r="M5" t="s">
        <v>98</v>
      </c>
      <c r="N5" t="s">
        <v>99</v>
      </c>
      <c r="O5" t="s">
        <v>111</v>
      </c>
      <c r="P5" t="s">
        <v>112</v>
      </c>
      <c r="Q5" t="s">
        <v>113</v>
      </c>
      <c r="R5" t="s">
        <v>114</v>
      </c>
    </row>
    <row r="6" spans="1:18">
      <c r="A6" s="4" t="s">
        <v>57</v>
      </c>
      <c r="B6" s="4" t="s">
        <v>1014</v>
      </c>
      <c r="C6" s="4" t="s">
        <v>18</v>
      </c>
      <c r="D6" s="4" t="s">
        <v>1017</v>
      </c>
      <c r="E6" s="4" t="s">
        <v>56</v>
      </c>
      <c r="F6" s="4" t="s">
        <v>1026</v>
      </c>
      <c r="G6" s="6" t="s">
        <v>129</v>
      </c>
      <c r="H6" t="s">
        <v>95</v>
      </c>
      <c r="I6" t="s">
        <v>96</v>
      </c>
      <c r="J6" t="s">
        <v>94</v>
      </c>
      <c r="K6" t="s">
        <v>108</v>
      </c>
      <c r="M6"/>
      <c r="N6"/>
      <c r="O6"/>
      <c r="P6"/>
      <c r="Q6"/>
      <c r="R6"/>
    </row>
    <row r="7" spans="1:18">
      <c r="A7" s="5" t="s">
        <v>16</v>
      </c>
      <c r="B7" s="4" t="s">
        <v>1013</v>
      </c>
      <c r="C7" s="4" t="s">
        <v>59</v>
      </c>
      <c r="D7" s="4" t="s">
        <v>1016</v>
      </c>
      <c r="E7" s="4" t="s">
        <v>77</v>
      </c>
      <c r="F7" s="4" t="s">
        <v>1023</v>
      </c>
      <c r="G7" s="6" t="s">
        <v>117</v>
      </c>
      <c r="H7" t="s">
        <v>93</v>
      </c>
      <c r="M7"/>
      <c r="N7"/>
      <c r="O7"/>
      <c r="P7"/>
      <c r="Q7"/>
      <c r="R7"/>
    </row>
    <row r="8" spans="1:18">
      <c r="A8" s="5" t="s">
        <v>20</v>
      </c>
      <c r="B8" s="4" t="s">
        <v>1013</v>
      </c>
      <c r="C8" s="4" t="s">
        <v>14</v>
      </c>
      <c r="D8" s="4" t="s">
        <v>1016</v>
      </c>
      <c r="E8" s="47" t="s">
        <v>86</v>
      </c>
      <c r="F8" s="4" t="s">
        <v>1023</v>
      </c>
      <c r="G8" s="6" t="s">
        <v>117</v>
      </c>
      <c r="H8" t="s">
        <v>93</v>
      </c>
      <c r="M8"/>
      <c r="N8"/>
      <c r="O8"/>
      <c r="P8"/>
      <c r="Q8"/>
      <c r="R8"/>
    </row>
    <row r="9" spans="1:18">
      <c r="A9" s="5" t="s">
        <v>22</v>
      </c>
      <c r="B9" s="4" t="s">
        <v>1013</v>
      </c>
      <c r="C9" s="4" t="s">
        <v>29</v>
      </c>
      <c r="D9" s="4" t="s">
        <v>1016</v>
      </c>
      <c r="E9" s="4" t="s">
        <v>30</v>
      </c>
      <c r="F9" s="4" t="s">
        <v>1023</v>
      </c>
      <c r="G9" s="6" t="s">
        <v>119</v>
      </c>
      <c r="H9" t="s">
        <v>97</v>
      </c>
      <c r="I9" t="s">
        <v>98</v>
      </c>
      <c r="J9" t="s">
        <v>99</v>
      </c>
      <c r="M9"/>
      <c r="N9"/>
      <c r="O9"/>
      <c r="P9"/>
      <c r="Q9"/>
      <c r="R9"/>
    </row>
    <row r="10" spans="1:18">
      <c r="A10" s="5" t="s">
        <v>22</v>
      </c>
      <c r="B10" s="188" t="s">
        <v>828</v>
      </c>
      <c r="C10" s="48" t="s">
        <v>62</v>
      </c>
      <c r="D10" s="188" t="s">
        <v>828</v>
      </c>
      <c r="E10" s="48" t="s">
        <v>23</v>
      </c>
      <c r="F10" s="188" t="s">
        <v>828</v>
      </c>
      <c r="G10" s="189" t="s">
        <v>116</v>
      </c>
      <c r="H10" s="191" t="s">
        <v>97</v>
      </c>
      <c r="I10" s="191" t="s">
        <v>98</v>
      </c>
      <c r="J10" s="191" t="s">
        <v>99</v>
      </c>
      <c r="M10"/>
      <c r="N10"/>
      <c r="O10"/>
      <c r="P10"/>
      <c r="Q10"/>
      <c r="R10"/>
    </row>
    <row r="11" spans="1:18">
      <c r="A11" s="4" t="s">
        <v>72</v>
      </c>
      <c r="B11" s="4" t="s">
        <v>1015</v>
      </c>
      <c r="C11" s="4" t="s">
        <v>51</v>
      </c>
      <c r="D11" s="4" t="s">
        <v>1020</v>
      </c>
      <c r="E11" s="4" t="s">
        <v>52</v>
      </c>
      <c r="F11" s="4" t="s">
        <v>1025</v>
      </c>
      <c r="G11" s="6" t="s">
        <v>120</v>
      </c>
      <c r="H11" t="s">
        <v>100</v>
      </c>
      <c r="I11" t="s">
        <v>101</v>
      </c>
      <c r="J11" t="s">
        <v>102</v>
      </c>
      <c r="M11"/>
      <c r="N11"/>
      <c r="O11"/>
      <c r="P11"/>
      <c r="Q11"/>
      <c r="R11"/>
    </row>
    <row r="12" spans="1:18">
      <c r="A12" s="48" t="s">
        <v>72</v>
      </c>
      <c r="B12" s="4" t="s">
        <v>828</v>
      </c>
      <c r="C12" s="48" t="s">
        <v>53</v>
      </c>
      <c r="D12" s="48" t="s">
        <v>828</v>
      </c>
      <c r="E12" s="48" t="s">
        <v>82</v>
      </c>
      <c r="F12" s="188" t="s">
        <v>828</v>
      </c>
      <c r="G12" s="189" t="s">
        <v>120</v>
      </c>
      <c r="H12" t="s">
        <v>100</v>
      </c>
      <c r="I12" t="s">
        <v>101</v>
      </c>
      <c r="J12" t="s">
        <v>102</v>
      </c>
      <c r="M12"/>
      <c r="N12"/>
      <c r="O12"/>
      <c r="P12"/>
      <c r="Q12"/>
      <c r="R12"/>
    </row>
    <row r="13" spans="1:18">
      <c r="A13" s="47" t="s">
        <v>58</v>
      </c>
      <c r="B13" s="4" t="s">
        <v>1013</v>
      </c>
      <c r="C13" s="4" t="s">
        <v>130</v>
      </c>
      <c r="D13" s="4" t="s">
        <v>1016</v>
      </c>
      <c r="E13" s="4" t="s">
        <v>131</v>
      </c>
      <c r="F13" s="4" t="s">
        <v>1023</v>
      </c>
      <c r="G13" s="6" t="s">
        <v>118</v>
      </c>
      <c r="H13" t="s">
        <v>95</v>
      </c>
      <c r="I13" t="s">
        <v>96</v>
      </c>
      <c r="J13" t="s">
        <v>94</v>
      </c>
      <c r="K13" t="s">
        <v>108</v>
      </c>
      <c r="L13" t="s">
        <v>97</v>
      </c>
      <c r="M13" t="s">
        <v>98</v>
      </c>
      <c r="N13" t="s">
        <v>99</v>
      </c>
      <c r="O13" t="s">
        <v>111</v>
      </c>
      <c r="P13" t="s">
        <v>112</v>
      </c>
      <c r="Q13" t="s">
        <v>113</v>
      </c>
      <c r="R13"/>
    </row>
    <row r="14" spans="1:18">
      <c r="A14" s="188" t="s">
        <v>58</v>
      </c>
      <c r="B14" s="188" t="s">
        <v>828</v>
      </c>
      <c r="C14" s="188" t="s">
        <v>1019</v>
      </c>
      <c r="D14" s="188" t="s">
        <v>1017</v>
      </c>
      <c r="E14" s="188" t="s">
        <v>1018</v>
      </c>
      <c r="F14" s="188" t="s">
        <v>1026</v>
      </c>
      <c r="G14" s="189" t="s">
        <v>124</v>
      </c>
      <c r="H14" s="190" t="s">
        <v>1031</v>
      </c>
      <c r="M14"/>
      <c r="N14"/>
      <c r="O14"/>
      <c r="P14"/>
      <c r="Q14"/>
      <c r="R14"/>
    </row>
    <row r="15" spans="1:18">
      <c r="A15" s="4" t="s">
        <v>41</v>
      </c>
      <c r="B15" s="4" t="s">
        <v>1014</v>
      </c>
      <c r="C15" s="4" t="s">
        <v>42</v>
      </c>
      <c r="D15" s="4" t="s">
        <v>1017</v>
      </c>
      <c r="E15" s="4" t="s">
        <v>43</v>
      </c>
      <c r="F15" s="4" t="s">
        <v>1026</v>
      </c>
      <c r="G15" s="6" t="s">
        <v>124</v>
      </c>
      <c r="H15" t="s">
        <v>103</v>
      </c>
      <c r="I15" t="s">
        <v>104</v>
      </c>
      <c r="J15" t="s">
        <v>105</v>
      </c>
      <c r="M15"/>
      <c r="N15"/>
      <c r="O15"/>
      <c r="P15"/>
      <c r="Q15"/>
      <c r="R15"/>
    </row>
    <row r="16" spans="1:18">
      <c r="A16" s="5" t="s">
        <v>69</v>
      </c>
      <c r="B16" s="4" t="s">
        <v>1014</v>
      </c>
      <c r="C16" s="4" t="s">
        <v>83</v>
      </c>
      <c r="D16" s="4" t="s">
        <v>1017</v>
      </c>
      <c r="E16" s="47" t="s">
        <v>84</v>
      </c>
      <c r="F16" s="4" t="s">
        <v>1027</v>
      </c>
      <c r="G16" s="6" t="s">
        <v>125</v>
      </c>
      <c r="H16" t="s">
        <v>97</v>
      </c>
      <c r="I16" t="s">
        <v>98</v>
      </c>
      <c r="J16" t="s">
        <v>99</v>
      </c>
      <c r="M16"/>
      <c r="N16"/>
      <c r="O16"/>
      <c r="P16"/>
      <c r="Q16"/>
      <c r="R16"/>
    </row>
    <row r="17" spans="1:18">
      <c r="A17" s="4" t="s">
        <v>44</v>
      </c>
      <c r="B17" s="4" t="s">
        <v>1014</v>
      </c>
      <c r="C17" s="4" t="s">
        <v>45</v>
      </c>
      <c r="D17" s="4" t="s">
        <v>1017</v>
      </c>
      <c r="E17" s="4" t="s">
        <v>79</v>
      </c>
      <c r="F17" s="4" t="s">
        <v>1028</v>
      </c>
      <c r="G17" s="6" t="s">
        <v>121</v>
      </c>
      <c r="H17" t="s">
        <v>106</v>
      </c>
      <c r="I17" t="s">
        <v>107</v>
      </c>
      <c r="M17"/>
      <c r="N17"/>
      <c r="O17"/>
      <c r="P17"/>
      <c r="Q17"/>
      <c r="R17"/>
    </row>
    <row r="18" spans="1:18">
      <c r="A18" s="4" t="s">
        <v>24</v>
      </c>
      <c r="B18" s="4" t="s">
        <v>1015</v>
      </c>
      <c r="C18" s="4" t="s">
        <v>54</v>
      </c>
      <c r="D18" s="4" t="s">
        <v>1020</v>
      </c>
      <c r="E18" s="4" t="s">
        <v>55</v>
      </c>
      <c r="F18" s="4" t="s">
        <v>1025</v>
      </c>
      <c r="G18" s="6" t="s">
        <v>129</v>
      </c>
      <c r="H18" t="s">
        <v>100</v>
      </c>
      <c r="I18" t="s">
        <v>101</v>
      </c>
      <c r="J18" t="s">
        <v>102</v>
      </c>
      <c r="M18"/>
      <c r="N18"/>
      <c r="O18"/>
      <c r="P18"/>
      <c r="Q18"/>
      <c r="R18"/>
    </row>
    <row r="19" spans="1:18" s="191" customFormat="1">
      <c r="A19" s="188" t="s">
        <v>24</v>
      </c>
      <c r="B19" s="188" t="s">
        <v>828</v>
      </c>
      <c r="C19" s="188" t="s">
        <v>19</v>
      </c>
      <c r="D19" s="188" t="s">
        <v>828</v>
      </c>
      <c r="E19" s="188" t="s">
        <v>78</v>
      </c>
      <c r="F19" s="188" t="s">
        <v>828</v>
      </c>
      <c r="G19" s="189" t="s">
        <v>126</v>
      </c>
      <c r="H19" s="191" t="s">
        <v>100</v>
      </c>
      <c r="I19" s="191" t="s">
        <v>101</v>
      </c>
      <c r="J19" s="191" t="s">
        <v>102</v>
      </c>
    </row>
    <row r="20" spans="1:18">
      <c r="A20" s="5" t="s">
        <v>46</v>
      </c>
      <c r="B20" s="4" t="s">
        <v>1013</v>
      </c>
      <c r="C20" s="47" t="s">
        <v>81</v>
      </c>
      <c r="D20" s="4" t="s">
        <v>1016</v>
      </c>
      <c r="E20" s="47" t="s">
        <v>65</v>
      </c>
      <c r="F20" s="4" t="s">
        <v>1023</v>
      </c>
      <c r="G20" s="6" t="s">
        <v>115</v>
      </c>
      <c r="H20" t="s">
        <v>90</v>
      </c>
      <c r="I20" t="s">
        <v>91</v>
      </c>
      <c r="J20" t="s">
        <v>92</v>
      </c>
      <c r="M20"/>
      <c r="N20"/>
      <c r="O20"/>
      <c r="P20"/>
      <c r="Q20"/>
      <c r="R20"/>
    </row>
    <row r="21" spans="1:18">
      <c r="A21" s="5" t="s">
        <v>46</v>
      </c>
      <c r="B21" s="4" t="s">
        <v>1013</v>
      </c>
      <c r="C21" s="48" t="s">
        <v>64</v>
      </c>
      <c r="D21" s="4" t="s">
        <v>1016</v>
      </c>
      <c r="E21" s="48" t="s">
        <v>21</v>
      </c>
      <c r="F21" s="188" t="s">
        <v>828</v>
      </c>
      <c r="G21" s="189" t="s">
        <v>116</v>
      </c>
      <c r="H21" s="191" t="s">
        <v>90</v>
      </c>
      <c r="I21" s="191" t="s">
        <v>91</v>
      </c>
      <c r="J21" s="191" t="s">
        <v>92</v>
      </c>
      <c r="M21"/>
      <c r="N21"/>
      <c r="O21"/>
      <c r="P21"/>
      <c r="Q21"/>
      <c r="R21"/>
    </row>
    <row r="22" spans="1:18">
      <c r="A22" s="5" t="s">
        <v>15</v>
      </c>
      <c r="B22" s="4" t="s">
        <v>1013</v>
      </c>
      <c r="C22" s="4" t="s">
        <v>60</v>
      </c>
      <c r="D22" s="4" t="s">
        <v>1016</v>
      </c>
      <c r="E22" s="4" t="s">
        <v>61</v>
      </c>
      <c r="F22" s="4" t="s">
        <v>1023</v>
      </c>
      <c r="G22" s="6" t="s">
        <v>118</v>
      </c>
      <c r="H22" t="s">
        <v>109</v>
      </c>
      <c r="I22" t="s">
        <v>92</v>
      </c>
      <c r="M22"/>
      <c r="N22"/>
      <c r="O22"/>
      <c r="P22"/>
      <c r="Q22"/>
      <c r="R22"/>
    </row>
    <row r="23" spans="1:18">
      <c r="A23" s="4" t="s">
        <v>203</v>
      </c>
      <c r="B23" s="4" t="s">
        <v>1014</v>
      </c>
      <c r="C23" s="4" t="s">
        <v>205</v>
      </c>
      <c r="D23" s="4" t="s">
        <v>1017</v>
      </c>
      <c r="E23" s="4" t="s">
        <v>206</v>
      </c>
      <c r="F23" s="4" t="s">
        <v>1024</v>
      </c>
      <c r="G23" s="6" t="s">
        <v>119</v>
      </c>
      <c r="H23" t="s">
        <v>111</v>
      </c>
      <c r="I23" t="s">
        <v>112</v>
      </c>
      <c r="J23" t="s">
        <v>113</v>
      </c>
      <c r="M23"/>
      <c r="N23"/>
      <c r="O23"/>
      <c r="P23"/>
      <c r="Q23"/>
      <c r="R23"/>
    </row>
    <row r="24" spans="1:18" s="191" customFormat="1">
      <c r="A24" s="188" t="s">
        <v>203</v>
      </c>
      <c r="B24" s="188" t="s">
        <v>828</v>
      </c>
      <c r="C24" s="188" t="s">
        <v>207</v>
      </c>
      <c r="D24" s="188" t="s">
        <v>828</v>
      </c>
      <c r="E24" s="188" t="s">
        <v>208</v>
      </c>
      <c r="F24" s="188" t="s">
        <v>828</v>
      </c>
      <c r="G24" s="189" t="s">
        <v>204</v>
      </c>
      <c r="H24" s="191" t="s">
        <v>1021</v>
      </c>
      <c r="I24" s="191" t="s">
        <v>99</v>
      </c>
      <c r="J24" s="191" t="s">
        <v>100</v>
      </c>
      <c r="K24" s="191" t="s">
        <v>102</v>
      </c>
    </row>
    <row r="25" spans="1:18">
      <c r="A25" s="4" t="s">
        <v>89</v>
      </c>
      <c r="B25" s="4" t="s">
        <v>1013</v>
      </c>
      <c r="C25" s="4" t="s">
        <v>87</v>
      </c>
      <c r="D25" s="4" t="s">
        <v>1016</v>
      </c>
      <c r="E25" s="4" t="s">
        <v>88</v>
      </c>
      <c r="F25" s="4" t="s">
        <v>1023</v>
      </c>
      <c r="G25" s="6" t="s">
        <v>122</v>
      </c>
      <c r="H25" t="s">
        <v>96</v>
      </c>
      <c r="I25" t="s">
        <v>92</v>
      </c>
      <c r="J25" t="s">
        <v>108</v>
      </c>
      <c r="M25"/>
      <c r="N25"/>
      <c r="O25"/>
      <c r="P25"/>
      <c r="Q25"/>
      <c r="R25"/>
    </row>
    <row r="26" spans="1:18">
      <c r="A26" s="5" t="s">
        <v>17</v>
      </c>
      <c r="B26" s="4" t="s">
        <v>1014</v>
      </c>
      <c r="C26" s="4" t="s">
        <v>85</v>
      </c>
      <c r="D26" s="4" t="s">
        <v>1017</v>
      </c>
      <c r="E26" s="4" t="s">
        <v>28</v>
      </c>
      <c r="F26" s="4" t="s">
        <v>1026</v>
      </c>
      <c r="G26" s="6" t="s">
        <v>118</v>
      </c>
      <c r="H26" t="s">
        <v>95</v>
      </c>
      <c r="I26" t="s">
        <v>96</v>
      </c>
      <c r="J26" t="s">
        <v>94</v>
      </c>
      <c r="K26" t="s">
        <v>108</v>
      </c>
      <c r="M26"/>
      <c r="N26"/>
      <c r="O26"/>
      <c r="P26"/>
      <c r="Q26"/>
      <c r="R26"/>
    </row>
    <row r="27" spans="1:18">
      <c r="A27" s="4" t="s">
        <v>47</v>
      </c>
      <c r="B27" s="4" t="s">
        <v>1014</v>
      </c>
      <c r="C27" s="4" t="s">
        <v>48</v>
      </c>
      <c r="D27" s="4" t="s">
        <v>1017</v>
      </c>
      <c r="E27" s="4" t="s">
        <v>80</v>
      </c>
      <c r="F27" s="4" t="s">
        <v>1026</v>
      </c>
      <c r="G27" s="6" t="s">
        <v>127</v>
      </c>
      <c r="H27" t="s">
        <v>110</v>
      </c>
      <c r="I27" t="s">
        <v>123</v>
      </c>
      <c r="M27"/>
      <c r="N27"/>
      <c r="O27"/>
      <c r="P27"/>
      <c r="Q27"/>
      <c r="R27"/>
    </row>
    <row r="28" spans="1:18">
      <c r="A28" s="52" t="s">
        <v>26</v>
      </c>
      <c r="B28" s="4" t="s">
        <v>1013</v>
      </c>
      <c r="C28" s="52" t="s">
        <v>32</v>
      </c>
      <c r="D28" s="4" t="s">
        <v>1016</v>
      </c>
      <c r="E28" s="52" t="s">
        <v>33</v>
      </c>
      <c r="F28" s="4" t="s">
        <v>1023</v>
      </c>
      <c r="G28" s="6" t="s">
        <v>117</v>
      </c>
      <c r="H28" t="s">
        <v>111</v>
      </c>
      <c r="I28" t="s">
        <v>112</v>
      </c>
      <c r="J28" t="s">
        <v>113</v>
      </c>
      <c r="M28"/>
      <c r="N28"/>
      <c r="O28"/>
      <c r="P28"/>
      <c r="Q28"/>
      <c r="R28"/>
    </row>
    <row r="29" spans="1:18" s="191" customFormat="1">
      <c r="A29" s="188" t="s">
        <v>26</v>
      </c>
      <c r="B29" s="188" t="s">
        <v>828</v>
      </c>
      <c r="C29" s="188" t="s">
        <v>27</v>
      </c>
      <c r="D29" s="188" t="s">
        <v>828</v>
      </c>
      <c r="E29" s="188" t="s">
        <v>63</v>
      </c>
      <c r="F29" s="188" t="s">
        <v>828</v>
      </c>
      <c r="G29" s="189" t="s">
        <v>118</v>
      </c>
      <c r="H29" s="191" t="s">
        <v>111</v>
      </c>
      <c r="I29" s="191" t="s">
        <v>112</v>
      </c>
      <c r="J29" s="191" t="s">
        <v>113</v>
      </c>
      <c r="K29" s="191" t="s">
        <v>95</v>
      </c>
      <c r="L29" s="191" t="s">
        <v>96</v>
      </c>
      <c r="M29" s="191" t="s">
        <v>94</v>
      </c>
      <c r="N29" s="191" t="s">
        <v>108</v>
      </c>
    </row>
    <row r="30" spans="1:18">
      <c r="A30" s="5" t="s">
        <v>137</v>
      </c>
      <c r="B30" s="4" t="s">
        <v>1013</v>
      </c>
      <c r="C30" s="4" t="s">
        <v>49</v>
      </c>
      <c r="D30" s="4" t="s">
        <v>1016</v>
      </c>
      <c r="E30" s="4" t="s">
        <v>50</v>
      </c>
      <c r="F30" s="4" t="s">
        <v>1023</v>
      </c>
      <c r="G30" s="6" t="s">
        <v>122</v>
      </c>
      <c r="H30" t="s">
        <v>105</v>
      </c>
      <c r="I30" t="s">
        <v>103</v>
      </c>
      <c r="J30" t="s">
        <v>104</v>
      </c>
      <c r="M30"/>
      <c r="N30"/>
      <c r="O30"/>
      <c r="P30"/>
      <c r="Q30"/>
      <c r="R30"/>
    </row>
    <row r="31" spans="1:18">
      <c r="A31" s="5" t="s">
        <v>75</v>
      </c>
      <c r="B31" s="4" t="s">
        <v>1013</v>
      </c>
      <c r="C31" s="4" t="s">
        <v>70</v>
      </c>
      <c r="D31" s="4" t="s">
        <v>1016</v>
      </c>
      <c r="E31" s="4" t="s">
        <v>76</v>
      </c>
      <c r="F31" s="4" t="s">
        <v>1023</v>
      </c>
      <c r="G31" s="6" t="s">
        <v>128</v>
      </c>
      <c r="H31" t="s">
        <v>93</v>
      </c>
      <c r="M31"/>
      <c r="N31"/>
      <c r="O31"/>
      <c r="P31"/>
      <c r="Q31"/>
      <c r="R31"/>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Z47"/>
  <sheetViews>
    <sheetView workbookViewId="0">
      <selection activeCell="U17" sqref="U17:Z21"/>
    </sheetView>
  </sheetViews>
  <sheetFormatPr defaultRowHeight="15"/>
  <cols>
    <col min="1" max="1" width="13.28515625" bestFit="1" customWidth="1"/>
    <col min="2" max="2" width="5.7109375" bestFit="1" customWidth="1"/>
    <col min="3" max="3" width="6.85546875" bestFit="1" customWidth="1"/>
    <col min="4" max="6" width="6.5703125" bestFit="1" customWidth="1"/>
    <col min="7" max="7" width="14.5703125" bestFit="1" customWidth="1"/>
    <col min="8" max="8" width="7.140625" bestFit="1" customWidth="1"/>
    <col min="9" max="9" width="7.7109375" bestFit="1" customWidth="1"/>
    <col min="10" max="12" width="8" bestFit="1" customWidth="1"/>
    <col min="13" max="13" width="9.28515625" bestFit="1" customWidth="1"/>
    <col min="14" max="14" width="14.7109375" bestFit="1" customWidth="1"/>
    <col min="15" max="15" width="7.140625" bestFit="1" customWidth="1"/>
    <col min="16" max="16" width="7.7109375" bestFit="1" customWidth="1"/>
    <col min="17" max="18" width="8" bestFit="1" customWidth="1"/>
    <col min="19" max="19" width="8.42578125" customWidth="1"/>
    <col min="20" max="20" width="8.7109375" customWidth="1"/>
    <col min="21" max="21" width="5.28515625" customWidth="1"/>
    <col min="22" max="22" width="6.42578125" bestFit="1" customWidth="1"/>
    <col min="23" max="23" width="4.5703125" bestFit="1" customWidth="1"/>
    <col min="24" max="25" width="6" bestFit="1" customWidth="1"/>
    <col min="26" max="26" width="6.85546875" bestFit="1" customWidth="1"/>
  </cols>
  <sheetData>
    <row r="1" spans="1:26">
      <c r="A1" s="1" t="s">
        <v>778</v>
      </c>
      <c r="B1" s="1" t="s">
        <v>132</v>
      </c>
      <c r="C1" s="1" t="s">
        <v>133</v>
      </c>
      <c r="D1" s="1" t="s">
        <v>134</v>
      </c>
      <c r="E1" s="1" t="s">
        <v>135</v>
      </c>
      <c r="F1" s="1" t="s">
        <v>136</v>
      </c>
      <c r="G1" s="1" t="s">
        <v>764</v>
      </c>
      <c r="H1" s="1" t="s">
        <v>765</v>
      </c>
      <c r="I1" s="1" t="s">
        <v>766</v>
      </c>
      <c r="J1" s="1" t="s">
        <v>767</v>
      </c>
      <c r="K1" s="1" t="s">
        <v>768</v>
      </c>
      <c r="L1" s="1" t="s">
        <v>769</v>
      </c>
      <c r="M1" s="1" t="s">
        <v>1029</v>
      </c>
      <c r="N1" s="1" t="s">
        <v>770</v>
      </c>
      <c r="O1" s="1" t="s">
        <v>771</v>
      </c>
      <c r="P1" s="1" t="s">
        <v>772</v>
      </c>
      <c r="Q1" s="1" t="s">
        <v>773</v>
      </c>
      <c r="R1" s="1" t="s">
        <v>774</v>
      </c>
      <c r="S1" s="1" t="s">
        <v>775</v>
      </c>
      <c r="U1" s="1" t="s">
        <v>754</v>
      </c>
      <c r="V1" s="1"/>
    </row>
    <row r="2" spans="1:26">
      <c r="A2" s="3" t="s">
        <v>25</v>
      </c>
      <c r="B2" s="4" t="s">
        <v>1030</v>
      </c>
      <c r="C2" s="4" t="s">
        <v>151</v>
      </c>
      <c r="D2" s="4" t="s">
        <v>228</v>
      </c>
      <c r="E2" s="4" t="s">
        <v>989</v>
      </c>
      <c r="F2" s="4" t="s">
        <v>225</v>
      </c>
      <c r="G2" s="1" t="s">
        <v>37</v>
      </c>
      <c r="H2" s="4" t="s">
        <v>228</v>
      </c>
      <c r="I2" s="4" t="s">
        <v>151</v>
      </c>
      <c r="J2" s="4" t="s">
        <v>228</v>
      </c>
      <c r="K2" s="4" t="s">
        <v>989</v>
      </c>
      <c r="L2" s="4" t="s">
        <v>211</v>
      </c>
      <c r="M2" s="4" t="s">
        <v>151</v>
      </c>
      <c r="N2" s="1" t="s">
        <v>38</v>
      </c>
      <c r="O2" s="4" t="s">
        <v>228</v>
      </c>
      <c r="P2" s="4" t="s">
        <v>151</v>
      </c>
      <c r="Q2" s="4" t="s">
        <v>225</v>
      </c>
      <c r="R2" s="4" t="s">
        <v>228</v>
      </c>
      <c r="S2" s="4" t="s">
        <v>211</v>
      </c>
      <c r="T2" s="4"/>
      <c r="V2" s="6" t="s">
        <v>1022</v>
      </c>
      <c r="W2" s="6" t="s">
        <v>989</v>
      </c>
      <c r="X2" s="6" t="s">
        <v>228</v>
      </c>
      <c r="Y2" s="6" t="s">
        <v>225</v>
      </c>
      <c r="Z2" s="6" t="s">
        <v>211</v>
      </c>
    </row>
    <row r="3" spans="1:26">
      <c r="A3" s="3" t="s">
        <v>34</v>
      </c>
      <c r="B3" s="4" t="s">
        <v>1033</v>
      </c>
      <c r="C3" s="4" t="s">
        <v>151</v>
      </c>
      <c r="D3" s="4" t="s">
        <v>228</v>
      </c>
      <c r="E3" s="4" t="s">
        <v>228</v>
      </c>
      <c r="F3" s="4" t="s">
        <v>989</v>
      </c>
      <c r="G3" s="1" t="s">
        <v>35</v>
      </c>
      <c r="H3" s="4" t="s">
        <v>228</v>
      </c>
      <c r="I3" s="4" t="s">
        <v>151</v>
      </c>
      <c r="J3" s="4" t="s">
        <v>228</v>
      </c>
      <c r="K3" s="4" t="s">
        <v>225</v>
      </c>
      <c r="L3" s="4" t="s">
        <v>989</v>
      </c>
      <c r="M3" s="4" t="s">
        <v>151</v>
      </c>
      <c r="N3" s="1" t="s">
        <v>36</v>
      </c>
      <c r="O3" s="4" t="s">
        <v>228</v>
      </c>
      <c r="P3" s="4" t="s">
        <v>151</v>
      </c>
      <c r="Q3" s="4" t="s">
        <v>225</v>
      </c>
      <c r="R3" s="4" t="s">
        <v>225</v>
      </c>
      <c r="S3" s="4" t="s">
        <v>989</v>
      </c>
      <c r="T3" s="4"/>
      <c r="U3" s="4" t="s">
        <v>132</v>
      </c>
      <c r="V3" s="4">
        <v>7</v>
      </c>
      <c r="W3" s="4">
        <v>8</v>
      </c>
      <c r="X3" s="4">
        <v>10</v>
      </c>
      <c r="Y3" s="4">
        <v>12</v>
      </c>
      <c r="Z3" s="4">
        <v>13</v>
      </c>
    </row>
    <row r="4" spans="1:26">
      <c r="A4" s="3" t="s">
        <v>66</v>
      </c>
      <c r="B4" s="4" t="s">
        <v>989</v>
      </c>
      <c r="C4" s="4" t="s">
        <v>151</v>
      </c>
      <c r="D4" s="4" t="s">
        <v>228</v>
      </c>
      <c r="E4" s="4" t="s">
        <v>989</v>
      </c>
      <c r="F4" s="4" t="s">
        <v>228</v>
      </c>
      <c r="G4" s="1" t="s">
        <v>39</v>
      </c>
      <c r="H4" s="4" t="s">
        <v>228</v>
      </c>
      <c r="I4" s="4" t="s">
        <v>151</v>
      </c>
      <c r="J4" s="4" t="s">
        <v>228</v>
      </c>
      <c r="K4" s="4" t="s">
        <v>989</v>
      </c>
      <c r="L4" s="4" t="s">
        <v>211</v>
      </c>
      <c r="M4" s="4" t="s">
        <v>151</v>
      </c>
      <c r="N4" s="1" t="s">
        <v>31</v>
      </c>
      <c r="O4" s="4" t="s">
        <v>228</v>
      </c>
      <c r="P4" s="4" t="s">
        <v>151</v>
      </c>
      <c r="Q4" s="4" t="s">
        <v>225</v>
      </c>
      <c r="R4" s="4" t="s">
        <v>228</v>
      </c>
      <c r="S4" s="4" t="s">
        <v>211</v>
      </c>
      <c r="T4" s="4"/>
      <c r="U4" s="4" t="s">
        <v>133</v>
      </c>
      <c r="V4" s="4">
        <v>4</v>
      </c>
      <c r="W4" s="4">
        <v>6</v>
      </c>
      <c r="X4" s="4">
        <v>8</v>
      </c>
      <c r="Y4" s="4">
        <v>10</v>
      </c>
      <c r="Z4" s="4">
        <v>12</v>
      </c>
    </row>
    <row r="5" spans="1:26">
      <c r="A5" s="3" t="s">
        <v>68</v>
      </c>
      <c r="B5" s="4" t="s">
        <v>228</v>
      </c>
      <c r="C5" s="4" t="s">
        <v>151</v>
      </c>
      <c r="D5" s="4" t="s">
        <v>225</v>
      </c>
      <c r="E5" s="4" t="s">
        <v>228</v>
      </c>
      <c r="F5" s="4" t="s">
        <v>989</v>
      </c>
      <c r="G5" s="1" t="s">
        <v>40</v>
      </c>
      <c r="H5" s="4" t="s">
        <v>228</v>
      </c>
      <c r="I5" s="4" t="s">
        <v>151</v>
      </c>
      <c r="J5" s="4" t="s">
        <v>225</v>
      </c>
      <c r="K5" s="4" t="s">
        <v>225</v>
      </c>
      <c r="L5" s="4" t="s">
        <v>989</v>
      </c>
      <c r="M5" s="4" t="s">
        <v>151</v>
      </c>
      <c r="N5" s="1" t="s">
        <v>67</v>
      </c>
      <c r="O5" s="4" t="s">
        <v>228</v>
      </c>
      <c r="P5" s="4" t="s">
        <v>151</v>
      </c>
      <c r="Q5" s="4" t="s">
        <v>225</v>
      </c>
      <c r="R5" s="4" t="s">
        <v>225</v>
      </c>
      <c r="S5" s="4" t="s">
        <v>989</v>
      </c>
      <c r="T5" s="4"/>
      <c r="U5" s="4" t="s">
        <v>134</v>
      </c>
      <c r="V5" s="4">
        <v>3</v>
      </c>
      <c r="W5" s="4">
        <v>4</v>
      </c>
      <c r="X5" s="4">
        <v>5</v>
      </c>
      <c r="Y5" s="4">
        <v>6</v>
      </c>
      <c r="Z5" s="4">
        <v>7</v>
      </c>
    </row>
    <row r="6" spans="1:26">
      <c r="A6" s="3" t="s">
        <v>57</v>
      </c>
      <c r="B6" s="4" t="s">
        <v>228</v>
      </c>
      <c r="C6" s="4" t="s">
        <v>1022</v>
      </c>
      <c r="D6" s="4" t="s">
        <v>228</v>
      </c>
      <c r="E6" s="4" t="s">
        <v>228</v>
      </c>
      <c r="F6" s="4" t="s">
        <v>228</v>
      </c>
      <c r="G6" s="1" t="s">
        <v>18</v>
      </c>
      <c r="H6" s="4" t="s">
        <v>228</v>
      </c>
      <c r="I6" s="4" t="s">
        <v>989</v>
      </c>
      <c r="J6" s="4" t="s">
        <v>228</v>
      </c>
      <c r="K6" s="4" t="s">
        <v>225</v>
      </c>
      <c r="L6" s="4" t="s">
        <v>228</v>
      </c>
      <c r="M6" s="4" t="s">
        <v>151</v>
      </c>
      <c r="N6" s="1" t="s">
        <v>56</v>
      </c>
      <c r="O6" s="4" t="s">
        <v>228</v>
      </c>
      <c r="P6" s="4" t="s">
        <v>989</v>
      </c>
      <c r="Q6" s="4" t="s">
        <v>225</v>
      </c>
      <c r="R6" s="4" t="s">
        <v>225</v>
      </c>
      <c r="S6" s="4" t="s">
        <v>225</v>
      </c>
      <c r="T6" s="4"/>
      <c r="U6" s="4" t="s">
        <v>135</v>
      </c>
      <c r="V6" s="4">
        <v>4</v>
      </c>
      <c r="W6" s="4">
        <v>5</v>
      </c>
      <c r="X6" s="4">
        <v>6</v>
      </c>
      <c r="Y6" s="4">
        <v>7</v>
      </c>
      <c r="Z6" s="4">
        <v>8</v>
      </c>
    </row>
    <row r="7" spans="1:26">
      <c r="A7" s="3" t="s">
        <v>16</v>
      </c>
      <c r="B7" s="4" t="s">
        <v>989</v>
      </c>
      <c r="C7" s="4" t="s">
        <v>151</v>
      </c>
      <c r="D7" s="4" t="s">
        <v>225</v>
      </c>
      <c r="E7" s="4" t="s">
        <v>225</v>
      </c>
      <c r="F7" s="4" t="s">
        <v>1022</v>
      </c>
      <c r="G7" s="1" t="s">
        <v>59</v>
      </c>
      <c r="H7" s="4" t="s">
        <v>989</v>
      </c>
      <c r="I7" s="4" t="s">
        <v>151</v>
      </c>
      <c r="J7" s="4" t="s">
        <v>225</v>
      </c>
      <c r="K7" s="4" t="s">
        <v>211</v>
      </c>
      <c r="L7" s="4" t="s">
        <v>1022</v>
      </c>
      <c r="M7" s="4" t="s">
        <v>151</v>
      </c>
      <c r="N7" s="1" t="s">
        <v>77</v>
      </c>
      <c r="O7" s="4" t="s">
        <v>228</v>
      </c>
      <c r="P7" s="4" t="s">
        <v>151</v>
      </c>
      <c r="Q7" s="4" t="s">
        <v>211</v>
      </c>
      <c r="R7" s="4" t="s">
        <v>211</v>
      </c>
      <c r="S7" s="4" t="s">
        <v>989</v>
      </c>
      <c r="T7" s="4"/>
      <c r="U7" s="4" t="s">
        <v>136</v>
      </c>
      <c r="V7" s="4">
        <v>4</v>
      </c>
      <c r="W7" s="4">
        <v>5</v>
      </c>
      <c r="X7" s="4">
        <v>6</v>
      </c>
      <c r="Y7" s="4">
        <v>7</v>
      </c>
      <c r="Z7" s="4">
        <v>8</v>
      </c>
    </row>
    <row r="8" spans="1:26">
      <c r="A8" s="3" t="s">
        <v>20</v>
      </c>
      <c r="B8" s="4" t="s">
        <v>228</v>
      </c>
      <c r="C8" s="4" t="s">
        <v>151</v>
      </c>
      <c r="D8" s="4" t="s">
        <v>228</v>
      </c>
      <c r="E8" s="4" t="s">
        <v>225</v>
      </c>
      <c r="F8" s="4" t="s">
        <v>1022</v>
      </c>
      <c r="G8" s="1" t="s">
        <v>14</v>
      </c>
      <c r="H8" s="4" t="s">
        <v>228</v>
      </c>
      <c r="I8" s="4" t="s">
        <v>151</v>
      </c>
      <c r="J8" s="4" t="s">
        <v>225</v>
      </c>
      <c r="K8" s="4" t="s">
        <v>225</v>
      </c>
      <c r="L8" s="4" t="s">
        <v>989</v>
      </c>
      <c r="M8" s="4" t="s">
        <v>760</v>
      </c>
      <c r="N8" s="1" t="s">
        <v>86</v>
      </c>
      <c r="O8" s="4" t="s">
        <v>228</v>
      </c>
      <c r="P8" s="4" t="s">
        <v>151</v>
      </c>
      <c r="Q8" s="4" t="s">
        <v>211</v>
      </c>
      <c r="R8" s="4" t="s">
        <v>211</v>
      </c>
      <c r="S8" s="4" t="s">
        <v>228</v>
      </c>
      <c r="T8" s="4"/>
      <c r="U8" s="4" t="s">
        <v>827</v>
      </c>
      <c r="V8" s="4">
        <v>3</v>
      </c>
      <c r="W8">
        <v>4</v>
      </c>
      <c r="X8">
        <v>5</v>
      </c>
      <c r="Y8">
        <v>6</v>
      </c>
      <c r="Z8" s="4">
        <v>7</v>
      </c>
    </row>
    <row r="9" spans="1:26">
      <c r="A9" s="3" t="s">
        <v>22</v>
      </c>
      <c r="B9" s="4" t="s">
        <v>225</v>
      </c>
      <c r="C9" s="4" t="s">
        <v>151</v>
      </c>
      <c r="D9" s="4" t="s">
        <v>228</v>
      </c>
      <c r="E9" s="4" t="s">
        <v>228</v>
      </c>
      <c r="F9" s="4" t="s">
        <v>225</v>
      </c>
      <c r="G9" s="1" t="s">
        <v>29</v>
      </c>
      <c r="H9" s="4" t="s">
        <v>211</v>
      </c>
      <c r="I9" s="4" t="s">
        <v>151</v>
      </c>
      <c r="J9" s="4" t="s">
        <v>228</v>
      </c>
      <c r="K9" s="4" t="s">
        <v>228</v>
      </c>
      <c r="L9" s="4" t="s">
        <v>225</v>
      </c>
      <c r="M9" s="4" t="s">
        <v>151</v>
      </c>
      <c r="N9" s="1" t="s">
        <v>30</v>
      </c>
      <c r="O9" s="4" t="s">
        <v>211</v>
      </c>
      <c r="P9" s="4" t="s">
        <v>151</v>
      </c>
      <c r="Q9" s="4" t="s">
        <v>225</v>
      </c>
      <c r="R9" s="4" t="s">
        <v>228</v>
      </c>
      <c r="S9" s="4" t="s">
        <v>211</v>
      </c>
      <c r="T9" s="4"/>
      <c r="U9" s="1" t="s">
        <v>829</v>
      </c>
      <c r="V9" s="1"/>
    </row>
    <row r="10" spans="1:26">
      <c r="A10" s="3" t="s">
        <v>22</v>
      </c>
      <c r="B10" s="4" t="s">
        <v>225</v>
      </c>
      <c r="C10" s="4" t="s">
        <v>151</v>
      </c>
      <c r="D10" s="4" t="s">
        <v>228</v>
      </c>
      <c r="E10" s="4" t="s">
        <v>228</v>
      </c>
      <c r="F10" s="4" t="s">
        <v>225</v>
      </c>
      <c r="G10" s="46" t="s">
        <v>62</v>
      </c>
      <c r="H10" s="4" t="s">
        <v>211</v>
      </c>
      <c r="I10" s="4" t="s">
        <v>151</v>
      </c>
      <c r="J10" s="4" t="s">
        <v>228</v>
      </c>
      <c r="K10" s="4" t="s">
        <v>228</v>
      </c>
      <c r="L10" s="4" t="s">
        <v>211</v>
      </c>
      <c r="M10" s="4" t="s">
        <v>761</v>
      </c>
      <c r="N10" s="46" t="s">
        <v>23</v>
      </c>
      <c r="O10" s="4" t="s">
        <v>211</v>
      </c>
      <c r="P10" s="4" t="s">
        <v>151</v>
      </c>
      <c r="Q10" s="4" t="s">
        <v>225</v>
      </c>
      <c r="R10" s="4" t="s">
        <v>228</v>
      </c>
      <c r="S10" s="4" t="s">
        <v>211</v>
      </c>
      <c r="T10" s="4"/>
      <c r="V10" s="6" t="s">
        <v>1022</v>
      </c>
      <c r="W10" s="6" t="s">
        <v>989</v>
      </c>
      <c r="X10" s="6" t="s">
        <v>228</v>
      </c>
      <c r="Y10" s="6" t="s">
        <v>225</v>
      </c>
      <c r="Z10" s="6" t="s">
        <v>211</v>
      </c>
    </row>
    <row r="11" spans="1:26">
      <c r="A11" s="3" t="s">
        <v>72</v>
      </c>
      <c r="B11" s="4" t="s">
        <v>989</v>
      </c>
      <c r="C11" s="4" t="s">
        <v>225</v>
      </c>
      <c r="D11" s="4" t="s">
        <v>1022</v>
      </c>
      <c r="E11" s="4" t="s">
        <v>1022</v>
      </c>
      <c r="F11" s="4" t="s">
        <v>228</v>
      </c>
      <c r="G11" s="1" t="s">
        <v>51</v>
      </c>
      <c r="H11" s="4" t="s">
        <v>989</v>
      </c>
      <c r="I11" s="4" t="s">
        <v>225</v>
      </c>
      <c r="J11" s="4" t="s">
        <v>1022</v>
      </c>
      <c r="K11" s="4" t="s">
        <v>989</v>
      </c>
      <c r="L11" s="4" t="s">
        <v>225</v>
      </c>
      <c r="M11" s="4" t="s">
        <v>151</v>
      </c>
      <c r="N11" s="1" t="s">
        <v>52</v>
      </c>
      <c r="O11" s="4" t="s">
        <v>989</v>
      </c>
      <c r="P11" s="4" t="s">
        <v>211</v>
      </c>
      <c r="Q11" s="4" t="s">
        <v>1022</v>
      </c>
      <c r="R11" s="4" t="s">
        <v>989</v>
      </c>
      <c r="S11" s="4" t="s">
        <v>225</v>
      </c>
      <c r="T11" s="4"/>
      <c r="U11" s="4" t="s">
        <v>132</v>
      </c>
      <c r="V11" s="4">
        <v>10</v>
      </c>
      <c r="W11" s="4">
        <v>11</v>
      </c>
      <c r="X11" s="4">
        <v>12</v>
      </c>
      <c r="Y11" s="4">
        <v>13</v>
      </c>
      <c r="Z11" s="4">
        <v>14</v>
      </c>
    </row>
    <row r="12" spans="1:26">
      <c r="A12" s="3" t="s">
        <v>72</v>
      </c>
      <c r="B12" s="4" t="s">
        <v>989</v>
      </c>
      <c r="C12" s="4" t="s">
        <v>225</v>
      </c>
      <c r="D12" s="4" t="s">
        <v>1022</v>
      </c>
      <c r="E12" s="4" t="s">
        <v>1022</v>
      </c>
      <c r="F12" s="4" t="s">
        <v>228</v>
      </c>
      <c r="G12" s="46" t="s">
        <v>53</v>
      </c>
      <c r="H12" s="4" t="s">
        <v>989</v>
      </c>
      <c r="I12" s="4" t="s">
        <v>225</v>
      </c>
      <c r="J12" s="4" t="s">
        <v>1022</v>
      </c>
      <c r="K12" s="4" t="s">
        <v>989</v>
      </c>
      <c r="L12" s="4" t="s">
        <v>225</v>
      </c>
      <c r="M12" s="4" t="s">
        <v>151</v>
      </c>
      <c r="N12" s="46" t="s">
        <v>82</v>
      </c>
      <c r="O12" s="4" t="s">
        <v>989</v>
      </c>
      <c r="P12" s="4" t="s">
        <v>211</v>
      </c>
      <c r="Q12" s="4" t="s">
        <v>1022</v>
      </c>
      <c r="R12" s="4" t="s">
        <v>989</v>
      </c>
      <c r="S12" s="4" t="s">
        <v>225</v>
      </c>
      <c r="T12" s="4"/>
      <c r="U12" s="4" t="s">
        <v>133</v>
      </c>
      <c r="V12" s="4">
        <v>4</v>
      </c>
      <c r="W12" s="4">
        <v>7</v>
      </c>
      <c r="X12" s="4">
        <v>10</v>
      </c>
      <c r="Y12" s="4">
        <v>13</v>
      </c>
      <c r="Z12" s="4">
        <v>16</v>
      </c>
    </row>
    <row r="13" spans="1:26">
      <c r="A13" s="3" t="s">
        <v>58</v>
      </c>
      <c r="B13" s="4" t="s">
        <v>228</v>
      </c>
      <c r="C13" s="4" t="s">
        <v>151</v>
      </c>
      <c r="D13" s="4" t="s">
        <v>228</v>
      </c>
      <c r="E13" s="4" t="s">
        <v>228</v>
      </c>
      <c r="F13" s="4" t="s">
        <v>228</v>
      </c>
      <c r="G13" s="1" t="s">
        <v>130</v>
      </c>
      <c r="H13" s="4" t="s">
        <v>228</v>
      </c>
      <c r="I13" s="4" t="s">
        <v>151</v>
      </c>
      <c r="J13" s="4" t="s">
        <v>228</v>
      </c>
      <c r="K13" s="4" t="s">
        <v>228</v>
      </c>
      <c r="L13" s="4" t="s">
        <v>228</v>
      </c>
      <c r="M13" s="4" t="s">
        <v>151</v>
      </c>
      <c r="N13" s="1" t="s">
        <v>131</v>
      </c>
      <c r="O13" s="4" t="s">
        <v>225</v>
      </c>
      <c r="P13" s="4" t="s">
        <v>151</v>
      </c>
      <c r="Q13" s="4" t="s">
        <v>225</v>
      </c>
      <c r="R13" s="4" t="s">
        <v>228</v>
      </c>
      <c r="S13" s="4" t="s">
        <v>228</v>
      </c>
      <c r="T13" s="4"/>
      <c r="U13" s="4" t="s">
        <v>134</v>
      </c>
      <c r="V13" s="4">
        <v>6</v>
      </c>
      <c r="W13" s="4">
        <v>7</v>
      </c>
      <c r="X13" s="4">
        <v>8</v>
      </c>
      <c r="Y13" s="4">
        <v>9</v>
      </c>
      <c r="Z13" s="4">
        <v>10</v>
      </c>
    </row>
    <row r="14" spans="1:26">
      <c r="A14" s="3" t="s">
        <v>58</v>
      </c>
      <c r="B14" s="4" t="s">
        <v>228</v>
      </c>
      <c r="C14" s="4" t="s">
        <v>151</v>
      </c>
      <c r="D14" s="4" t="s">
        <v>228</v>
      </c>
      <c r="E14" s="4" t="s">
        <v>228</v>
      </c>
      <c r="F14" s="4" t="s">
        <v>228</v>
      </c>
      <c r="G14" s="46" t="s">
        <v>1019</v>
      </c>
      <c r="H14" s="4" t="s">
        <v>228</v>
      </c>
      <c r="I14" s="4" t="s">
        <v>1022</v>
      </c>
      <c r="J14" s="4" t="s">
        <v>228</v>
      </c>
      <c r="K14" s="4" t="s">
        <v>228</v>
      </c>
      <c r="L14" s="4" t="s">
        <v>228</v>
      </c>
      <c r="M14" s="4" t="s">
        <v>151</v>
      </c>
      <c r="N14" s="46" t="s">
        <v>1018</v>
      </c>
      <c r="O14" s="4" t="s">
        <v>225</v>
      </c>
      <c r="P14" s="4" t="s">
        <v>989</v>
      </c>
      <c r="Q14" s="4" t="s">
        <v>225</v>
      </c>
      <c r="R14" s="4" t="s">
        <v>228</v>
      </c>
      <c r="S14" s="4" t="s">
        <v>228</v>
      </c>
      <c r="T14" s="4"/>
      <c r="U14" s="4" t="s">
        <v>135</v>
      </c>
      <c r="V14" s="4">
        <v>6</v>
      </c>
      <c r="W14" s="4">
        <v>7</v>
      </c>
      <c r="X14" s="4">
        <v>8</v>
      </c>
      <c r="Y14" s="4">
        <v>9</v>
      </c>
      <c r="Z14" s="4">
        <v>10</v>
      </c>
    </row>
    <row r="15" spans="1:26">
      <c r="A15" s="3" t="s">
        <v>41</v>
      </c>
      <c r="B15" s="4" t="s">
        <v>228</v>
      </c>
      <c r="C15" s="4" t="s">
        <v>1022</v>
      </c>
      <c r="D15" s="4" t="s">
        <v>228</v>
      </c>
      <c r="E15" s="4" t="s">
        <v>228</v>
      </c>
      <c r="F15" s="4" t="s">
        <v>228</v>
      </c>
      <c r="G15" s="1" t="s">
        <v>42</v>
      </c>
      <c r="H15" s="4" t="s">
        <v>228</v>
      </c>
      <c r="I15" s="4" t="s">
        <v>989</v>
      </c>
      <c r="J15" s="4" t="s">
        <v>225</v>
      </c>
      <c r="K15" s="4" t="s">
        <v>228</v>
      </c>
      <c r="L15" s="4" t="s">
        <v>228</v>
      </c>
      <c r="M15" s="4" t="s">
        <v>151</v>
      </c>
      <c r="N15" s="1" t="s">
        <v>43</v>
      </c>
      <c r="O15" s="4" t="s">
        <v>228</v>
      </c>
      <c r="P15" s="4" t="s">
        <v>228</v>
      </c>
      <c r="Q15" s="4" t="s">
        <v>225</v>
      </c>
      <c r="R15" s="4" t="s">
        <v>228</v>
      </c>
      <c r="S15" s="4" t="s">
        <v>228</v>
      </c>
      <c r="T15" s="4"/>
      <c r="U15" s="4" t="s">
        <v>136</v>
      </c>
      <c r="V15" s="4">
        <v>6</v>
      </c>
      <c r="W15" s="4">
        <v>7</v>
      </c>
      <c r="X15" s="4">
        <v>8</v>
      </c>
      <c r="Y15" s="4">
        <v>9</v>
      </c>
      <c r="Z15" s="4">
        <v>10</v>
      </c>
    </row>
    <row r="16" spans="1:26">
      <c r="A16" s="3" t="s">
        <v>69</v>
      </c>
      <c r="B16" s="4" t="s">
        <v>228</v>
      </c>
      <c r="C16" s="4" t="s">
        <v>1022</v>
      </c>
      <c r="D16" s="4" t="s">
        <v>228</v>
      </c>
      <c r="E16" s="4" t="s">
        <v>989</v>
      </c>
      <c r="F16" s="4" t="s">
        <v>228</v>
      </c>
      <c r="G16" s="1" t="s">
        <v>83</v>
      </c>
      <c r="H16" s="4" t="s">
        <v>225</v>
      </c>
      <c r="I16" s="4" t="s">
        <v>989</v>
      </c>
      <c r="J16" s="4" t="s">
        <v>228</v>
      </c>
      <c r="K16" s="4" t="s">
        <v>989</v>
      </c>
      <c r="L16" s="4" t="s">
        <v>225</v>
      </c>
      <c r="M16" s="4" t="s">
        <v>151</v>
      </c>
      <c r="N16" s="1" t="s">
        <v>84</v>
      </c>
      <c r="O16" s="4" t="s">
        <v>225</v>
      </c>
      <c r="P16" s="4" t="s">
        <v>228</v>
      </c>
      <c r="Q16" s="4" t="s">
        <v>225</v>
      </c>
      <c r="R16" s="4" t="s">
        <v>228</v>
      </c>
      <c r="S16" s="4" t="s">
        <v>211</v>
      </c>
      <c r="T16" s="4"/>
      <c r="U16" s="4" t="s">
        <v>827</v>
      </c>
      <c r="V16" s="4" t="s">
        <v>828</v>
      </c>
      <c r="W16">
        <v>4</v>
      </c>
      <c r="X16">
        <v>5</v>
      </c>
      <c r="Y16">
        <v>6</v>
      </c>
      <c r="Z16" s="4" t="s">
        <v>828</v>
      </c>
    </row>
    <row r="17" spans="1:26">
      <c r="A17" s="3" t="s">
        <v>44</v>
      </c>
      <c r="B17" s="4" t="s">
        <v>228</v>
      </c>
      <c r="C17" s="4" t="s">
        <v>989</v>
      </c>
      <c r="D17" s="4" t="s">
        <v>228</v>
      </c>
      <c r="E17" s="4" t="s">
        <v>989</v>
      </c>
      <c r="F17" s="4" t="s">
        <v>225</v>
      </c>
      <c r="G17" s="1" t="s">
        <v>45</v>
      </c>
      <c r="H17" s="4" t="s">
        <v>228</v>
      </c>
      <c r="I17" s="4" t="s">
        <v>989</v>
      </c>
      <c r="J17" s="4" t="s">
        <v>225</v>
      </c>
      <c r="K17" s="4" t="s">
        <v>228</v>
      </c>
      <c r="L17" s="4" t="s">
        <v>225</v>
      </c>
      <c r="M17" s="4" t="s">
        <v>151</v>
      </c>
      <c r="N17" s="1" t="s">
        <v>79</v>
      </c>
      <c r="O17" s="4" t="s">
        <v>228</v>
      </c>
      <c r="P17" s="4" t="s">
        <v>228</v>
      </c>
      <c r="Q17" s="4" t="s">
        <v>225</v>
      </c>
      <c r="R17" s="4" t="s">
        <v>228</v>
      </c>
      <c r="S17" s="4" t="s">
        <v>211</v>
      </c>
      <c r="T17" s="4"/>
      <c r="U17" s="50" t="s">
        <v>830</v>
      </c>
      <c r="V17" s="4"/>
      <c r="Z17" s="4"/>
    </row>
    <row r="18" spans="1:26">
      <c r="A18" s="3" t="s">
        <v>24</v>
      </c>
      <c r="B18" s="4" t="s">
        <v>989</v>
      </c>
      <c r="C18" s="4" t="s">
        <v>225</v>
      </c>
      <c r="D18" s="4" t="s">
        <v>1022</v>
      </c>
      <c r="E18" s="4" t="s">
        <v>1022</v>
      </c>
      <c r="F18" s="4" t="s">
        <v>228</v>
      </c>
      <c r="G18" s="1" t="s">
        <v>54</v>
      </c>
      <c r="H18" s="4" t="s">
        <v>989</v>
      </c>
      <c r="I18" s="4" t="s">
        <v>225</v>
      </c>
      <c r="J18" s="4" t="s">
        <v>1022</v>
      </c>
      <c r="K18" s="4" t="s">
        <v>989</v>
      </c>
      <c r="L18" s="4" t="s">
        <v>225</v>
      </c>
      <c r="M18" s="4" t="s">
        <v>151</v>
      </c>
      <c r="N18" s="1" t="s">
        <v>55</v>
      </c>
      <c r="O18" s="4" t="s">
        <v>989</v>
      </c>
      <c r="P18" s="4" t="s">
        <v>211</v>
      </c>
      <c r="Q18" s="4" t="s">
        <v>1022</v>
      </c>
      <c r="R18" s="4" t="s">
        <v>989</v>
      </c>
      <c r="S18" s="4" t="s">
        <v>225</v>
      </c>
      <c r="T18" s="4"/>
      <c r="U18" s="50" t="s">
        <v>831</v>
      </c>
      <c r="V18" s="4"/>
      <c r="Z18" s="4"/>
    </row>
    <row r="19" spans="1:26">
      <c r="A19" s="3" t="s">
        <v>24</v>
      </c>
      <c r="B19" s="4" t="s">
        <v>989</v>
      </c>
      <c r="C19" s="4" t="s">
        <v>225</v>
      </c>
      <c r="D19" s="4" t="s">
        <v>1022</v>
      </c>
      <c r="E19" s="4" t="s">
        <v>1022</v>
      </c>
      <c r="F19" s="4" t="s">
        <v>228</v>
      </c>
      <c r="G19" s="46" t="s">
        <v>19</v>
      </c>
      <c r="H19" s="4" t="s">
        <v>989</v>
      </c>
      <c r="I19" s="4" t="s">
        <v>225</v>
      </c>
      <c r="J19" s="4" t="s">
        <v>1022</v>
      </c>
      <c r="K19" s="4" t="s">
        <v>989</v>
      </c>
      <c r="L19" s="4" t="s">
        <v>225</v>
      </c>
      <c r="M19" s="4" t="s">
        <v>151</v>
      </c>
      <c r="N19" s="46" t="s">
        <v>78</v>
      </c>
      <c r="O19" s="4" t="s">
        <v>989</v>
      </c>
      <c r="P19" s="4" t="s">
        <v>211</v>
      </c>
      <c r="Q19" s="4" t="s">
        <v>1022</v>
      </c>
      <c r="R19" s="4" t="s">
        <v>989</v>
      </c>
      <c r="S19" s="4" t="s">
        <v>225</v>
      </c>
      <c r="T19" s="4"/>
      <c r="U19" s="50" t="s">
        <v>832</v>
      </c>
      <c r="V19" s="4"/>
      <c r="Z19" s="4"/>
    </row>
    <row r="20" spans="1:26">
      <c r="A20" s="3" t="s">
        <v>46</v>
      </c>
      <c r="B20" s="4" t="s">
        <v>989</v>
      </c>
      <c r="C20" s="4" t="s">
        <v>151</v>
      </c>
      <c r="D20" s="4" t="s">
        <v>228</v>
      </c>
      <c r="E20" s="4" t="s">
        <v>989</v>
      </c>
      <c r="F20" s="4" t="s">
        <v>225</v>
      </c>
      <c r="G20" s="1" t="s">
        <v>81</v>
      </c>
      <c r="H20" s="4" t="s">
        <v>228</v>
      </c>
      <c r="I20" s="4" t="s">
        <v>151</v>
      </c>
      <c r="J20" s="4" t="s">
        <v>225</v>
      </c>
      <c r="K20" s="4" t="s">
        <v>228</v>
      </c>
      <c r="L20" s="4" t="s">
        <v>225</v>
      </c>
      <c r="M20" s="4" t="s">
        <v>151</v>
      </c>
      <c r="N20" s="1" t="s">
        <v>65</v>
      </c>
      <c r="O20" s="4" t="s">
        <v>228</v>
      </c>
      <c r="P20" s="4" t="s">
        <v>151</v>
      </c>
      <c r="Q20" s="4" t="s">
        <v>225</v>
      </c>
      <c r="R20" s="4" t="s">
        <v>228</v>
      </c>
      <c r="S20" s="4" t="s">
        <v>211</v>
      </c>
      <c r="T20" s="4"/>
      <c r="U20" s="50" t="s">
        <v>833</v>
      </c>
      <c r="V20" s="4"/>
      <c r="Z20" s="4"/>
    </row>
    <row r="21" spans="1:26">
      <c r="A21" s="3" t="s">
        <v>46</v>
      </c>
      <c r="B21" s="4" t="s">
        <v>989</v>
      </c>
      <c r="C21" s="4" t="s">
        <v>151</v>
      </c>
      <c r="D21" s="4" t="s">
        <v>228</v>
      </c>
      <c r="E21" s="4" t="s">
        <v>989</v>
      </c>
      <c r="F21" s="4" t="s">
        <v>225</v>
      </c>
      <c r="G21" s="46" t="s">
        <v>64</v>
      </c>
      <c r="H21" s="4" t="s">
        <v>228</v>
      </c>
      <c r="I21" s="4" t="s">
        <v>151</v>
      </c>
      <c r="J21" s="4" t="s">
        <v>225</v>
      </c>
      <c r="K21" s="4" t="s">
        <v>228</v>
      </c>
      <c r="L21" s="4" t="s">
        <v>211</v>
      </c>
      <c r="M21" s="4" t="s">
        <v>761</v>
      </c>
      <c r="N21" s="46" t="s">
        <v>21</v>
      </c>
      <c r="O21" s="4" t="s">
        <v>228</v>
      </c>
      <c r="P21" s="4" t="s">
        <v>151</v>
      </c>
      <c r="Q21" s="4" t="s">
        <v>225</v>
      </c>
      <c r="R21" s="4" t="s">
        <v>228</v>
      </c>
      <c r="S21" s="4" t="s">
        <v>211</v>
      </c>
      <c r="T21" s="4"/>
      <c r="U21" s="50" t="s">
        <v>834</v>
      </c>
      <c r="V21" s="4"/>
      <c r="Z21" s="4"/>
    </row>
    <row r="22" spans="1:26">
      <c r="A22" s="3" t="s">
        <v>15</v>
      </c>
      <c r="B22" s="4" t="s">
        <v>228</v>
      </c>
      <c r="C22" s="4" t="s">
        <v>151</v>
      </c>
      <c r="D22" s="4" t="s">
        <v>228</v>
      </c>
      <c r="E22" s="4" t="s">
        <v>228</v>
      </c>
      <c r="F22" s="4" t="s">
        <v>989</v>
      </c>
      <c r="G22" s="1" t="s">
        <v>60</v>
      </c>
      <c r="H22" s="4" t="s">
        <v>228</v>
      </c>
      <c r="I22" s="4" t="s">
        <v>151</v>
      </c>
      <c r="J22" s="4" t="s">
        <v>225</v>
      </c>
      <c r="K22" s="4" t="s">
        <v>228</v>
      </c>
      <c r="L22" s="4" t="s">
        <v>989</v>
      </c>
      <c r="M22" s="4" t="s">
        <v>151</v>
      </c>
      <c r="N22" s="1" t="s">
        <v>61</v>
      </c>
      <c r="O22" s="4" t="s">
        <v>228</v>
      </c>
      <c r="P22" s="4" t="s">
        <v>151</v>
      </c>
      <c r="Q22" s="4" t="s">
        <v>225</v>
      </c>
      <c r="R22" s="4" t="s">
        <v>228</v>
      </c>
      <c r="S22" s="4" t="s">
        <v>228</v>
      </c>
      <c r="T22" s="4"/>
      <c r="U22" s="1" t="s">
        <v>835</v>
      </c>
      <c r="V22" s="1"/>
    </row>
    <row r="23" spans="1:26">
      <c r="A23" s="3" t="s">
        <v>203</v>
      </c>
      <c r="B23" s="4" t="s">
        <v>228</v>
      </c>
      <c r="C23" s="4" t="s">
        <v>1022</v>
      </c>
      <c r="D23" s="4" t="s">
        <v>228</v>
      </c>
      <c r="E23" s="4" t="s">
        <v>228</v>
      </c>
      <c r="F23" s="4" t="s">
        <v>228</v>
      </c>
      <c r="G23" s="1" t="s">
        <v>205</v>
      </c>
      <c r="H23" s="4" t="s">
        <v>228</v>
      </c>
      <c r="I23" s="4" t="s">
        <v>989</v>
      </c>
      <c r="J23" s="4" t="s">
        <v>225</v>
      </c>
      <c r="K23" s="4" t="s">
        <v>989</v>
      </c>
      <c r="L23" s="4" t="s">
        <v>228</v>
      </c>
      <c r="M23" s="4" t="s">
        <v>151</v>
      </c>
      <c r="N23" s="1" t="s">
        <v>206</v>
      </c>
      <c r="O23" s="4" t="s">
        <v>228</v>
      </c>
      <c r="P23" s="4" t="s">
        <v>989</v>
      </c>
      <c r="Q23" s="4" t="s">
        <v>211</v>
      </c>
      <c r="R23" s="4" t="s">
        <v>989</v>
      </c>
      <c r="S23" s="4" t="s">
        <v>228</v>
      </c>
      <c r="T23" s="4"/>
      <c r="V23" s="6" t="s">
        <v>1022</v>
      </c>
      <c r="W23" s="6" t="s">
        <v>989</v>
      </c>
      <c r="X23" s="6" t="s">
        <v>228</v>
      </c>
      <c r="Y23" s="6" t="s">
        <v>225</v>
      </c>
      <c r="Z23" s="6" t="s">
        <v>211</v>
      </c>
    </row>
    <row r="24" spans="1:26">
      <c r="A24" s="3" t="s">
        <v>203</v>
      </c>
      <c r="B24" s="4" t="s">
        <v>228</v>
      </c>
      <c r="C24" s="4" t="s">
        <v>1022</v>
      </c>
      <c r="D24" s="4" t="s">
        <v>228</v>
      </c>
      <c r="E24" s="4" t="s">
        <v>228</v>
      </c>
      <c r="F24" s="4" t="s">
        <v>228</v>
      </c>
      <c r="G24" s="46" t="s">
        <v>207</v>
      </c>
      <c r="H24" s="4" t="s">
        <v>228</v>
      </c>
      <c r="I24" s="4" t="s">
        <v>228</v>
      </c>
      <c r="J24" s="4" t="s">
        <v>228</v>
      </c>
      <c r="K24" s="4" t="s">
        <v>989</v>
      </c>
      <c r="L24" s="4" t="s">
        <v>228</v>
      </c>
      <c r="M24" s="4" t="s">
        <v>151</v>
      </c>
      <c r="N24" s="46" t="s">
        <v>208</v>
      </c>
      <c r="O24" s="4" t="s">
        <v>228</v>
      </c>
      <c r="P24" s="4" t="s">
        <v>228</v>
      </c>
      <c r="Q24" s="4" t="s">
        <v>225</v>
      </c>
      <c r="R24" s="4" t="s">
        <v>228</v>
      </c>
      <c r="S24" s="4" t="s">
        <v>228</v>
      </c>
      <c r="T24" s="4"/>
      <c r="U24" s="4" t="s">
        <v>132</v>
      </c>
    </row>
    <row r="25" spans="1:26">
      <c r="A25" s="3" t="s">
        <v>89</v>
      </c>
      <c r="B25" s="4" t="s">
        <v>228</v>
      </c>
      <c r="C25" s="4" t="s">
        <v>151</v>
      </c>
      <c r="D25" s="4" t="s">
        <v>225</v>
      </c>
      <c r="E25" s="4" t="s">
        <v>989</v>
      </c>
      <c r="F25" s="4" t="s">
        <v>225</v>
      </c>
      <c r="G25" s="1" t="s">
        <v>87</v>
      </c>
      <c r="H25" s="4" t="s">
        <v>228</v>
      </c>
      <c r="I25" s="4" t="s">
        <v>151</v>
      </c>
      <c r="J25" s="4" t="s">
        <v>225</v>
      </c>
      <c r="K25" s="4" t="s">
        <v>989</v>
      </c>
      <c r="L25" s="4" t="s">
        <v>211</v>
      </c>
      <c r="M25" s="4" t="s">
        <v>151</v>
      </c>
      <c r="N25" s="1" t="s">
        <v>88</v>
      </c>
      <c r="O25" s="4" t="s">
        <v>225</v>
      </c>
      <c r="P25" s="4" t="s">
        <v>151</v>
      </c>
      <c r="Q25" s="4" t="s">
        <v>211</v>
      </c>
      <c r="R25" s="4" t="s">
        <v>228</v>
      </c>
      <c r="S25" s="4" t="s">
        <v>211</v>
      </c>
      <c r="T25" s="4"/>
      <c r="U25" s="4" t="s">
        <v>133</v>
      </c>
    </row>
    <row r="26" spans="1:26">
      <c r="A26" s="3" t="s">
        <v>17</v>
      </c>
      <c r="B26" s="4" t="s">
        <v>225</v>
      </c>
      <c r="C26" s="4" t="s">
        <v>757</v>
      </c>
      <c r="D26" s="4" t="s">
        <v>228</v>
      </c>
      <c r="E26" s="4" t="s">
        <v>228</v>
      </c>
      <c r="F26" s="4" t="s">
        <v>228</v>
      </c>
      <c r="G26" s="1" t="s">
        <v>85</v>
      </c>
      <c r="H26" s="4" t="s">
        <v>225</v>
      </c>
      <c r="I26" s="4" t="s">
        <v>1022</v>
      </c>
      <c r="J26" s="4" t="s">
        <v>225</v>
      </c>
      <c r="K26" s="4" t="s">
        <v>225</v>
      </c>
      <c r="L26" s="4" t="s">
        <v>228</v>
      </c>
      <c r="M26" s="4" t="s">
        <v>151</v>
      </c>
      <c r="N26" s="1" t="s">
        <v>28</v>
      </c>
      <c r="O26" s="4" t="s">
        <v>211</v>
      </c>
      <c r="P26" s="4" t="s">
        <v>228</v>
      </c>
      <c r="Q26" s="4" t="s">
        <v>225</v>
      </c>
      <c r="R26" s="4" t="s">
        <v>211</v>
      </c>
      <c r="S26" s="4" t="s">
        <v>228</v>
      </c>
      <c r="T26" s="4"/>
      <c r="U26" s="4" t="s">
        <v>134</v>
      </c>
    </row>
    <row r="27" spans="1:26">
      <c r="A27" s="3" t="s">
        <v>47</v>
      </c>
      <c r="B27" s="4" t="s">
        <v>989</v>
      </c>
      <c r="C27" s="4" t="s">
        <v>989</v>
      </c>
      <c r="D27" s="4" t="s">
        <v>989</v>
      </c>
      <c r="E27" s="4" t="s">
        <v>989</v>
      </c>
      <c r="F27" s="4" t="s">
        <v>225</v>
      </c>
      <c r="G27" s="1" t="s">
        <v>48</v>
      </c>
      <c r="H27" s="4" t="s">
        <v>228</v>
      </c>
      <c r="I27" s="4" t="s">
        <v>989</v>
      </c>
      <c r="J27" s="4" t="s">
        <v>228</v>
      </c>
      <c r="K27" s="4" t="s">
        <v>228</v>
      </c>
      <c r="L27" s="4" t="s">
        <v>211</v>
      </c>
      <c r="M27" s="4" t="s">
        <v>151</v>
      </c>
      <c r="N27" s="1" t="s">
        <v>80</v>
      </c>
      <c r="O27" s="4" t="s">
        <v>228</v>
      </c>
      <c r="P27" s="4" t="s">
        <v>228</v>
      </c>
      <c r="Q27" s="4" t="s">
        <v>225</v>
      </c>
      <c r="R27" s="4" t="s">
        <v>228</v>
      </c>
      <c r="S27" s="4" t="s">
        <v>211</v>
      </c>
      <c r="T27" s="4"/>
      <c r="U27" s="4" t="s">
        <v>135</v>
      </c>
    </row>
    <row r="28" spans="1:26">
      <c r="A28" s="3" t="s">
        <v>26</v>
      </c>
      <c r="B28" s="4" t="s">
        <v>989</v>
      </c>
      <c r="C28" s="4" t="s">
        <v>151</v>
      </c>
      <c r="D28" s="4" t="s">
        <v>225</v>
      </c>
      <c r="E28" s="4" t="s">
        <v>225</v>
      </c>
      <c r="F28" s="4" t="s">
        <v>989</v>
      </c>
      <c r="G28" s="3" t="s">
        <v>32</v>
      </c>
      <c r="H28" s="4" t="s">
        <v>228</v>
      </c>
      <c r="I28" s="4" t="s">
        <v>151</v>
      </c>
      <c r="J28" s="4" t="s">
        <v>225</v>
      </c>
      <c r="K28" s="4" t="s">
        <v>225</v>
      </c>
      <c r="L28" s="4" t="s">
        <v>989</v>
      </c>
      <c r="M28" s="4" t="s">
        <v>151</v>
      </c>
      <c r="N28" s="3" t="s">
        <v>33</v>
      </c>
      <c r="O28" s="4" t="s">
        <v>228</v>
      </c>
      <c r="P28" s="4" t="s">
        <v>151</v>
      </c>
      <c r="Q28" s="4" t="s">
        <v>225</v>
      </c>
      <c r="R28" s="4" t="s">
        <v>211</v>
      </c>
      <c r="S28" s="4" t="s">
        <v>228</v>
      </c>
      <c r="T28" s="4"/>
      <c r="U28" s="4" t="s">
        <v>136</v>
      </c>
    </row>
    <row r="29" spans="1:26">
      <c r="A29" s="3" t="s">
        <v>26</v>
      </c>
      <c r="B29" s="4" t="s">
        <v>989</v>
      </c>
      <c r="C29" s="4" t="s">
        <v>151</v>
      </c>
      <c r="D29" s="4" t="s">
        <v>225</v>
      </c>
      <c r="E29" s="4" t="s">
        <v>225</v>
      </c>
      <c r="F29" s="4" t="s">
        <v>989</v>
      </c>
      <c r="G29" s="46" t="s">
        <v>27</v>
      </c>
      <c r="H29" s="4" t="s">
        <v>228</v>
      </c>
      <c r="I29" s="4" t="s">
        <v>151</v>
      </c>
      <c r="J29" s="4" t="s">
        <v>225</v>
      </c>
      <c r="K29" s="4" t="s">
        <v>228</v>
      </c>
      <c r="L29" s="4" t="s">
        <v>228</v>
      </c>
      <c r="M29" s="4" t="s">
        <v>762</v>
      </c>
      <c r="N29" s="46" t="s">
        <v>63</v>
      </c>
      <c r="O29" s="4" t="s">
        <v>225</v>
      </c>
      <c r="P29" s="4" t="s">
        <v>151</v>
      </c>
      <c r="Q29" s="4" t="s">
        <v>225</v>
      </c>
      <c r="R29" s="4" t="s">
        <v>225</v>
      </c>
      <c r="S29" s="4" t="s">
        <v>225</v>
      </c>
      <c r="T29" s="4"/>
      <c r="U29" s="4" t="s">
        <v>827</v>
      </c>
    </row>
    <row r="30" spans="1:26">
      <c r="A30" s="3" t="s">
        <v>71</v>
      </c>
      <c r="B30" s="4" t="s">
        <v>228</v>
      </c>
      <c r="C30" s="4" t="s">
        <v>151</v>
      </c>
      <c r="D30" s="4" t="s">
        <v>228</v>
      </c>
      <c r="E30" s="4" t="s">
        <v>228</v>
      </c>
      <c r="F30" s="4" t="s">
        <v>225</v>
      </c>
      <c r="G30" s="1" t="s">
        <v>49</v>
      </c>
      <c r="H30" s="4" t="s">
        <v>228</v>
      </c>
      <c r="I30" s="4" t="s">
        <v>151</v>
      </c>
      <c r="J30" s="4" t="s">
        <v>225</v>
      </c>
      <c r="K30" s="4" t="s">
        <v>228</v>
      </c>
      <c r="L30" s="4" t="s">
        <v>225</v>
      </c>
      <c r="M30" s="4" t="s">
        <v>151</v>
      </c>
      <c r="N30" s="1" t="s">
        <v>50</v>
      </c>
      <c r="O30" s="4" t="s">
        <v>225</v>
      </c>
      <c r="P30" s="4" t="s">
        <v>151</v>
      </c>
      <c r="Q30" s="4" t="s">
        <v>211</v>
      </c>
      <c r="R30" s="4" t="s">
        <v>228</v>
      </c>
      <c r="S30" s="4" t="s">
        <v>211</v>
      </c>
      <c r="T30" s="4"/>
      <c r="U30" s="50" t="s">
        <v>830</v>
      </c>
      <c r="V30" s="4"/>
      <c r="Z30" s="4"/>
    </row>
    <row r="31" spans="1:26">
      <c r="A31" s="3" t="s">
        <v>75</v>
      </c>
      <c r="B31" s="4" t="s">
        <v>228</v>
      </c>
      <c r="C31" s="4" t="s">
        <v>151</v>
      </c>
      <c r="D31" s="4" t="s">
        <v>225</v>
      </c>
      <c r="E31" s="4" t="s">
        <v>989</v>
      </c>
      <c r="F31" s="4" t="s">
        <v>228</v>
      </c>
      <c r="G31" s="1" t="s">
        <v>70</v>
      </c>
      <c r="H31" s="4" t="s">
        <v>228</v>
      </c>
      <c r="I31" s="4" t="s">
        <v>151</v>
      </c>
      <c r="J31" s="4" t="s">
        <v>225</v>
      </c>
      <c r="K31" s="4" t="s">
        <v>228</v>
      </c>
      <c r="L31" s="4" t="s">
        <v>228</v>
      </c>
      <c r="M31" s="4" t="s">
        <v>151</v>
      </c>
      <c r="N31" s="1" t="s">
        <v>76</v>
      </c>
      <c r="O31" s="4" t="s">
        <v>225</v>
      </c>
      <c r="P31" s="4" t="s">
        <v>151</v>
      </c>
      <c r="Q31" s="4" t="s">
        <v>211</v>
      </c>
      <c r="R31" s="4" t="s">
        <v>225</v>
      </c>
      <c r="S31" s="4" t="s">
        <v>228</v>
      </c>
      <c r="U31" s="50" t="s">
        <v>831</v>
      </c>
      <c r="V31" s="4"/>
      <c r="Z31" s="4"/>
    </row>
    <row r="32" spans="1:26">
      <c r="U32" s="50" t="s">
        <v>832</v>
      </c>
      <c r="V32" s="4"/>
      <c r="Z32" s="4"/>
    </row>
    <row r="33" spans="21:26">
      <c r="U33" s="50" t="s">
        <v>833</v>
      </c>
      <c r="V33" s="4"/>
      <c r="Z33" s="4"/>
    </row>
    <row r="34" spans="21:26">
      <c r="U34" s="50" t="s">
        <v>834</v>
      </c>
      <c r="V34" s="4"/>
      <c r="Z34" s="4"/>
    </row>
    <row r="35" spans="21:26">
      <c r="U35" s="1" t="s">
        <v>836</v>
      </c>
      <c r="V35" s="1"/>
    </row>
    <row r="36" spans="21:26">
      <c r="V36" s="6" t="s">
        <v>1022</v>
      </c>
      <c r="W36" s="6" t="s">
        <v>989</v>
      </c>
      <c r="X36" s="6" t="s">
        <v>228</v>
      </c>
      <c r="Y36" s="6" t="s">
        <v>225</v>
      </c>
      <c r="Z36" s="6" t="s">
        <v>211</v>
      </c>
    </row>
    <row r="37" spans="21:26">
      <c r="U37" s="4" t="s">
        <v>132</v>
      </c>
    </row>
    <row r="38" spans="21:26">
      <c r="U38" s="4" t="s">
        <v>133</v>
      </c>
    </row>
    <row r="39" spans="21:26">
      <c r="U39" s="4" t="s">
        <v>134</v>
      </c>
    </row>
    <row r="40" spans="21:26">
      <c r="U40" s="4" t="s">
        <v>135</v>
      </c>
    </row>
    <row r="41" spans="21:26">
      <c r="U41" s="4" t="s">
        <v>136</v>
      </c>
    </row>
    <row r="42" spans="21:26">
      <c r="U42" s="4" t="s">
        <v>827</v>
      </c>
    </row>
    <row r="43" spans="21:26">
      <c r="U43" s="50" t="s">
        <v>830</v>
      </c>
      <c r="V43" s="4"/>
      <c r="Z43" s="4"/>
    </row>
    <row r="44" spans="21:26">
      <c r="U44" s="50" t="s">
        <v>831</v>
      </c>
      <c r="V44" s="4"/>
      <c r="Z44" s="4"/>
    </row>
    <row r="45" spans="21:26">
      <c r="U45" s="50" t="s">
        <v>832</v>
      </c>
      <c r="V45" s="4"/>
      <c r="Z45" s="4"/>
    </row>
    <row r="46" spans="21:26">
      <c r="U46" s="50" t="s">
        <v>833</v>
      </c>
      <c r="V46" s="4"/>
      <c r="Z46" s="4"/>
    </row>
    <row r="47" spans="21:26">
      <c r="U47" s="50" t="s">
        <v>834</v>
      </c>
      <c r="V47" s="4"/>
      <c r="Z47" s="4"/>
    </row>
  </sheetData>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dimension ref="A1:Q60"/>
  <sheetViews>
    <sheetView workbookViewId="0">
      <selection activeCell="N35" sqref="N35"/>
    </sheetView>
  </sheetViews>
  <sheetFormatPr defaultRowHeight="15"/>
  <cols>
    <col min="1" max="1" width="13.85546875" style="107" bestFit="1" customWidth="1"/>
    <col min="2" max="2" width="11.140625" style="4" bestFit="1" customWidth="1"/>
    <col min="3" max="3" width="10.85546875" style="4" bestFit="1" customWidth="1"/>
    <col min="4" max="4" width="13.7109375" style="4" bestFit="1" customWidth="1"/>
    <col min="5" max="5" width="15.7109375" style="4" bestFit="1" customWidth="1"/>
    <col min="6" max="6" width="13.7109375" style="4" bestFit="1" customWidth="1"/>
    <col min="7" max="7" width="13.140625" style="4" bestFit="1" customWidth="1"/>
    <col min="8" max="8" width="13.7109375" style="4" bestFit="1" customWidth="1"/>
    <col min="9" max="9" width="13.28515625" style="4" bestFit="1" customWidth="1"/>
    <col min="10" max="10" width="16" style="4" bestFit="1" customWidth="1"/>
    <col min="11" max="11" width="20.140625" style="4" bestFit="1" customWidth="1"/>
    <col min="12" max="12" width="12.85546875" style="4" bestFit="1" customWidth="1"/>
    <col min="13" max="13" width="16.140625" style="4" bestFit="1" customWidth="1"/>
    <col min="14" max="14" width="16.7109375" style="4" bestFit="1" customWidth="1"/>
    <col min="15" max="16384" width="9.140625" style="4"/>
  </cols>
  <sheetData>
    <row r="1" spans="1:17">
      <c r="A1" s="127" t="s">
        <v>139</v>
      </c>
      <c r="B1" s="109" t="s">
        <v>157</v>
      </c>
      <c r="C1" s="109" t="s">
        <v>161</v>
      </c>
      <c r="D1" s="109" t="s">
        <v>160</v>
      </c>
      <c r="E1" s="109" t="s">
        <v>154</v>
      </c>
      <c r="F1" s="109" t="s">
        <v>155</v>
      </c>
      <c r="G1" s="109" t="s">
        <v>153</v>
      </c>
      <c r="H1" s="109" t="s">
        <v>167</v>
      </c>
      <c r="I1" s="109" t="s">
        <v>142</v>
      </c>
      <c r="J1" s="109" t="s">
        <v>158</v>
      </c>
      <c r="K1" s="109" t="s">
        <v>159</v>
      </c>
      <c r="L1" s="109" t="s">
        <v>201</v>
      </c>
      <c r="M1" s="109" t="s">
        <v>156</v>
      </c>
      <c r="N1" s="110" t="s">
        <v>913</v>
      </c>
    </row>
    <row r="2" spans="1:17">
      <c r="A2" s="128" t="s">
        <v>838</v>
      </c>
      <c r="B2" s="111" t="s">
        <v>202</v>
      </c>
      <c r="C2" s="111" t="s">
        <v>837</v>
      </c>
      <c r="D2" s="111" t="s">
        <v>191</v>
      </c>
      <c r="E2" s="111" t="s">
        <v>200</v>
      </c>
      <c r="F2" s="111" t="s">
        <v>169</v>
      </c>
      <c r="G2" s="111" t="s">
        <v>152</v>
      </c>
      <c r="H2" s="111" t="s">
        <v>779</v>
      </c>
      <c r="I2" s="111" t="s">
        <v>143</v>
      </c>
      <c r="J2" s="111" t="s">
        <v>162</v>
      </c>
      <c r="K2" s="111" t="s">
        <v>170</v>
      </c>
      <c r="L2" s="111" t="s">
        <v>165</v>
      </c>
      <c r="M2" s="111" t="s">
        <v>199</v>
      </c>
      <c r="N2" s="112" t="s">
        <v>909</v>
      </c>
    </row>
    <row r="3" spans="1:17">
      <c r="A3" s="128" t="s">
        <v>141</v>
      </c>
      <c r="B3" s="114" t="s">
        <v>14</v>
      </c>
      <c r="C3" s="114" t="s">
        <v>26</v>
      </c>
      <c r="D3" s="114" t="s">
        <v>24</v>
      </c>
      <c r="E3" s="114" t="s">
        <v>72</v>
      </c>
      <c r="F3" s="114" t="s">
        <v>70</v>
      </c>
      <c r="G3" s="114" t="s">
        <v>25</v>
      </c>
      <c r="H3" s="114" t="s">
        <v>203</v>
      </c>
      <c r="I3" s="114" t="s">
        <v>89</v>
      </c>
      <c r="J3" s="114" t="s">
        <v>57</v>
      </c>
      <c r="K3" s="114" t="s">
        <v>44</v>
      </c>
      <c r="L3" s="114" t="s">
        <v>72</v>
      </c>
      <c r="M3" s="114" t="s">
        <v>58</v>
      </c>
      <c r="N3" s="115" t="s">
        <v>69</v>
      </c>
    </row>
    <row r="4" spans="1:17">
      <c r="A4" s="128" t="s">
        <v>944</v>
      </c>
      <c r="B4" s="111" t="s">
        <v>14</v>
      </c>
      <c r="C4" s="111" t="s">
        <v>0</v>
      </c>
      <c r="D4" s="111" t="s">
        <v>68</v>
      </c>
      <c r="E4" s="111" t="s">
        <v>945</v>
      </c>
      <c r="F4" s="111" t="s">
        <v>70</v>
      </c>
      <c r="G4" s="111" t="s">
        <v>66</v>
      </c>
      <c r="H4" s="111" t="s">
        <v>6</v>
      </c>
      <c r="I4" s="111" t="s">
        <v>71</v>
      </c>
      <c r="J4" s="111" t="s">
        <v>10</v>
      </c>
      <c r="K4" s="111" t="s">
        <v>71</v>
      </c>
      <c r="L4" s="111" t="s">
        <v>0</v>
      </c>
      <c r="M4" s="111" t="s">
        <v>946</v>
      </c>
      <c r="N4" s="112" t="s">
        <v>3</v>
      </c>
    </row>
    <row r="5" spans="1:17" ht="15.75" thickBot="1">
      <c r="A5" s="129" t="s">
        <v>753</v>
      </c>
      <c r="B5" s="116">
        <v>1</v>
      </c>
      <c r="C5" s="116">
        <v>1</v>
      </c>
      <c r="D5" s="116">
        <v>1</v>
      </c>
      <c r="E5" s="116">
        <v>1</v>
      </c>
      <c r="F5" s="116">
        <v>1</v>
      </c>
      <c r="G5" s="116">
        <v>1</v>
      </c>
      <c r="H5" s="116">
        <v>1</v>
      </c>
      <c r="I5" s="116">
        <v>1</v>
      </c>
      <c r="J5" s="116">
        <v>1</v>
      </c>
      <c r="K5" s="116">
        <v>1</v>
      </c>
      <c r="L5" s="116">
        <v>1</v>
      </c>
      <c r="M5" s="116">
        <v>1</v>
      </c>
      <c r="N5" s="117">
        <v>1</v>
      </c>
    </row>
    <row r="6" spans="1:17">
      <c r="A6" s="127" t="s">
        <v>132</v>
      </c>
      <c r="B6" s="118">
        <v>8</v>
      </c>
      <c r="C6" s="118">
        <v>11</v>
      </c>
      <c r="D6" s="118">
        <v>9</v>
      </c>
      <c r="E6" s="118">
        <v>8</v>
      </c>
      <c r="F6" s="118">
        <v>13</v>
      </c>
      <c r="G6" s="118">
        <v>10</v>
      </c>
      <c r="H6" s="118">
        <v>10</v>
      </c>
      <c r="I6" s="118">
        <v>10</v>
      </c>
      <c r="J6" s="118">
        <v>10</v>
      </c>
      <c r="K6" s="118">
        <v>10</v>
      </c>
      <c r="L6" s="118">
        <v>11</v>
      </c>
      <c r="M6" s="118">
        <v>10</v>
      </c>
      <c r="N6" s="119">
        <v>13</v>
      </c>
    </row>
    <row r="7" spans="1:17">
      <c r="A7" s="128" t="s">
        <v>133</v>
      </c>
      <c r="B7" s="111">
        <v>0</v>
      </c>
      <c r="C7" s="111">
        <v>0</v>
      </c>
      <c r="D7" s="111">
        <v>10</v>
      </c>
      <c r="E7" s="111">
        <v>10</v>
      </c>
      <c r="F7" s="111">
        <v>0</v>
      </c>
      <c r="G7" s="111">
        <v>0</v>
      </c>
      <c r="H7" s="111">
        <v>4</v>
      </c>
      <c r="I7" s="111">
        <v>0</v>
      </c>
      <c r="J7" s="111">
        <v>4</v>
      </c>
      <c r="K7" s="111">
        <v>6</v>
      </c>
      <c r="L7" s="111">
        <v>10</v>
      </c>
      <c r="M7" s="111">
        <v>0</v>
      </c>
      <c r="N7" s="112">
        <v>4</v>
      </c>
    </row>
    <row r="8" spans="1:17">
      <c r="A8" s="128" t="s">
        <v>134</v>
      </c>
      <c r="B8" s="111">
        <v>10</v>
      </c>
      <c r="C8" s="111">
        <v>12</v>
      </c>
      <c r="D8" s="111">
        <v>7</v>
      </c>
      <c r="E8" s="111">
        <v>8</v>
      </c>
      <c r="F8" s="111">
        <v>10</v>
      </c>
      <c r="G8" s="111">
        <v>10</v>
      </c>
      <c r="H8" s="111">
        <v>11</v>
      </c>
      <c r="I8" s="111">
        <v>10</v>
      </c>
      <c r="J8" s="111">
        <v>10</v>
      </c>
      <c r="K8" s="111">
        <v>11</v>
      </c>
      <c r="L8" s="111">
        <v>6</v>
      </c>
      <c r="M8" s="111">
        <v>10</v>
      </c>
      <c r="N8" s="112">
        <v>12</v>
      </c>
    </row>
    <row r="9" spans="1:17">
      <c r="A9" s="128" t="s">
        <v>135</v>
      </c>
      <c r="B9" s="111">
        <v>9</v>
      </c>
      <c r="C9" s="111">
        <v>7</v>
      </c>
      <c r="D9" s="111">
        <v>5</v>
      </c>
      <c r="E9" s="111">
        <v>4</v>
      </c>
      <c r="F9" s="111">
        <v>6</v>
      </c>
      <c r="G9" s="111">
        <v>5</v>
      </c>
      <c r="H9" s="111">
        <v>6</v>
      </c>
      <c r="I9" s="111">
        <v>5</v>
      </c>
      <c r="J9" s="111">
        <v>6</v>
      </c>
      <c r="K9" s="111">
        <v>5</v>
      </c>
      <c r="L9" s="111">
        <v>4</v>
      </c>
      <c r="M9" s="111">
        <v>6</v>
      </c>
      <c r="N9" s="112">
        <v>6</v>
      </c>
    </row>
    <row r="10" spans="1:17">
      <c r="A10" s="128" t="s">
        <v>136</v>
      </c>
      <c r="B10" s="111">
        <v>4</v>
      </c>
      <c r="C10" s="111">
        <v>5</v>
      </c>
      <c r="D10" s="111">
        <v>4</v>
      </c>
      <c r="E10" s="111">
        <v>6</v>
      </c>
      <c r="F10" s="111">
        <v>6</v>
      </c>
      <c r="G10" s="111">
        <v>10</v>
      </c>
      <c r="H10" s="111">
        <v>9</v>
      </c>
      <c r="I10" s="111">
        <v>9</v>
      </c>
      <c r="J10" s="111">
        <v>6</v>
      </c>
      <c r="K10" s="111">
        <v>9</v>
      </c>
      <c r="L10" s="111">
        <v>6</v>
      </c>
      <c r="M10" s="111">
        <v>8</v>
      </c>
      <c r="N10" s="112">
        <v>6</v>
      </c>
    </row>
    <row r="11" spans="1:17" ht="15.75" thickBot="1">
      <c r="A11" s="129" t="s">
        <v>827</v>
      </c>
      <c r="B11" s="120">
        <v>4</v>
      </c>
      <c r="C11" s="120">
        <v>5</v>
      </c>
      <c r="D11" s="120">
        <v>5</v>
      </c>
      <c r="E11" s="120">
        <v>5</v>
      </c>
      <c r="F11" s="120">
        <v>4</v>
      </c>
      <c r="G11" s="120">
        <v>6</v>
      </c>
      <c r="H11" s="120">
        <v>5</v>
      </c>
      <c r="I11" s="120">
        <v>6</v>
      </c>
      <c r="J11" s="120">
        <v>9</v>
      </c>
      <c r="K11" s="120">
        <v>6</v>
      </c>
      <c r="L11" s="120">
        <v>5</v>
      </c>
      <c r="M11" s="120">
        <v>8</v>
      </c>
      <c r="N11" s="113">
        <v>5</v>
      </c>
    </row>
    <row r="12" spans="1:17">
      <c r="A12" s="127" t="s">
        <v>808</v>
      </c>
      <c r="B12" s="118">
        <v>5</v>
      </c>
      <c r="C12" s="118">
        <v>6</v>
      </c>
      <c r="D12" s="118">
        <v>6</v>
      </c>
      <c r="E12" s="118">
        <v>5</v>
      </c>
      <c r="F12" s="118">
        <v>5</v>
      </c>
      <c r="G12" s="118">
        <v>6</v>
      </c>
      <c r="H12" s="118">
        <v>6</v>
      </c>
      <c r="I12" s="118">
        <v>6</v>
      </c>
      <c r="J12" s="118">
        <v>6</v>
      </c>
      <c r="K12" s="118">
        <v>7</v>
      </c>
      <c r="L12" s="118">
        <v>5</v>
      </c>
      <c r="M12" s="118">
        <v>6</v>
      </c>
      <c r="N12" s="119">
        <v>7</v>
      </c>
    </row>
    <row r="13" spans="1:17">
      <c r="A13" s="128" t="s">
        <v>855</v>
      </c>
      <c r="B13" s="111">
        <f>TRUNC((B10/4)+B11+0,0)</f>
        <v>5</v>
      </c>
      <c r="C13" s="111">
        <f t="shared" ref="C13:M13" si="0">TRUNC((C10/4)+C11+0,0)</f>
        <v>6</v>
      </c>
      <c r="D13" s="111">
        <f t="shared" si="0"/>
        <v>6</v>
      </c>
      <c r="E13" s="111">
        <f t="shared" si="0"/>
        <v>6</v>
      </c>
      <c r="F13" s="111">
        <f>TRUNC((F10/4)+F11+1,0)</f>
        <v>6</v>
      </c>
      <c r="G13" s="111">
        <f>TRUNC((G10/4)+G11+2,0)</f>
        <v>10</v>
      </c>
      <c r="H13" s="111">
        <f t="shared" si="0"/>
        <v>7</v>
      </c>
      <c r="I13" s="111">
        <f t="shared" si="0"/>
        <v>8</v>
      </c>
      <c r="J13" s="111">
        <f t="shared" si="0"/>
        <v>10</v>
      </c>
      <c r="K13" s="111">
        <f t="shared" si="0"/>
        <v>8</v>
      </c>
      <c r="L13" s="111">
        <f t="shared" si="0"/>
        <v>6</v>
      </c>
      <c r="M13" s="111">
        <f t="shared" si="0"/>
        <v>10</v>
      </c>
      <c r="N13" s="112">
        <f t="shared" ref="N13" si="1">TRUNC((N10/4)+N11+0,0)</f>
        <v>6</v>
      </c>
    </row>
    <row r="14" spans="1:17">
      <c r="A14" s="128" t="s">
        <v>856</v>
      </c>
      <c r="B14" s="111">
        <f>TRUNC((B5/5)+B11+0,0)</f>
        <v>4</v>
      </c>
      <c r="C14" s="111">
        <f t="shared" ref="C14:M14" si="2">TRUNC((C5/5)+C11+0,0)</f>
        <v>5</v>
      </c>
      <c r="D14" s="111">
        <f t="shared" si="2"/>
        <v>5</v>
      </c>
      <c r="E14" s="111">
        <f t="shared" si="2"/>
        <v>5</v>
      </c>
      <c r="F14" s="111">
        <f t="shared" si="2"/>
        <v>4</v>
      </c>
      <c r="G14" s="111">
        <f t="shared" si="2"/>
        <v>6</v>
      </c>
      <c r="H14" s="111">
        <f>TRUNC((H5/5)+H11+1,0)</f>
        <v>6</v>
      </c>
      <c r="I14" s="111">
        <f t="shared" si="2"/>
        <v>6</v>
      </c>
      <c r="J14" s="111">
        <f t="shared" si="2"/>
        <v>9</v>
      </c>
      <c r="K14" s="111">
        <f t="shared" si="2"/>
        <v>6</v>
      </c>
      <c r="L14" s="111">
        <f t="shared" si="2"/>
        <v>5</v>
      </c>
      <c r="M14" s="111">
        <f t="shared" si="2"/>
        <v>8</v>
      </c>
      <c r="N14" s="112">
        <f t="shared" ref="N14" si="3">TRUNC((N5/5)+N11+0,0)</f>
        <v>5</v>
      </c>
    </row>
    <row r="15" spans="1:17">
      <c r="A15" s="130" t="s">
        <v>857</v>
      </c>
      <c r="B15" s="121">
        <f>TRUNC((B10/8)+B11+0,0)</f>
        <v>4</v>
      </c>
      <c r="C15" s="121">
        <f t="shared" ref="C15:M15" si="4">TRUNC((C10/8)+C11+0,0)</f>
        <v>5</v>
      </c>
      <c r="D15" s="121">
        <f t="shared" si="4"/>
        <v>5</v>
      </c>
      <c r="E15" s="121">
        <f>TRUNC((E10/8)+E11+1,0)</f>
        <v>6</v>
      </c>
      <c r="F15" s="121">
        <f t="shared" si="4"/>
        <v>4</v>
      </c>
      <c r="G15" s="121">
        <f t="shared" si="4"/>
        <v>7</v>
      </c>
      <c r="H15" s="121">
        <f t="shared" si="4"/>
        <v>6</v>
      </c>
      <c r="I15" s="121">
        <f t="shared" si="4"/>
        <v>7</v>
      </c>
      <c r="J15" s="121">
        <f t="shared" si="4"/>
        <v>9</v>
      </c>
      <c r="K15" s="121">
        <f t="shared" si="4"/>
        <v>7</v>
      </c>
      <c r="L15" s="121">
        <f t="shared" si="4"/>
        <v>5</v>
      </c>
      <c r="M15" s="121">
        <f t="shared" si="4"/>
        <v>9</v>
      </c>
      <c r="N15" s="122">
        <f t="shared" ref="N15" si="5">TRUNC((N10/8)+N11+0,0)</f>
        <v>5</v>
      </c>
    </row>
    <row r="16" spans="1:17" ht="15.75" thickBot="1">
      <c r="A16" s="131" t="s">
        <v>839</v>
      </c>
      <c r="B16" s="116" t="s">
        <v>840</v>
      </c>
      <c r="C16" s="116" t="s">
        <v>840</v>
      </c>
      <c r="D16" s="116" t="s">
        <v>865</v>
      </c>
      <c r="E16" s="116" t="s">
        <v>866</v>
      </c>
      <c r="F16" s="116" t="s">
        <v>865</v>
      </c>
      <c r="G16" s="116" t="s">
        <v>865</v>
      </c>
      <c r="H16" s="116" t="s">
        <v>867</v>
      </c>
      <c r="I16" s="116" t="s">
        <v>867</v>
      </c>
      <c r="J16" s="116" t="s">
        <v>840</v>
      </c>
      <c r="K16" s="116" t="s">
        <v>867</v>
      </c>
      <c r="L16" s="116" t="s">
        <v>840</v>
      </c>
      <c r="M16" s="116" t="s">
        <v>840</v>
      </c>
      <c r="N16" s="123" t="s">
        <v>803</v>
      </c>
      <c r="O16" s="52"/>
      <c r="P16" s="52"/>
      <c r="Q16" s="52"/>
    </row>
    <row r="17" spans="1:17">
      <c r="A17" s="127" t="s">
        <v>914</v>
      </c>
      <c r="B17" s="118" t="s">
        <v>828</v>
      </c>
      <c r="C17" s="118" t="s">
        <v>828</v>
      </c>
      <c r="D17" s="118" t="s">
        <v>994</v>
      </c>
      <c r="E17" s="118" t="s">
        <v>995</v>
      </c>
      <c r="F17" s="118" t="s">
        <v>828</v>
      </c>
      <c r="G17" s="118" t="s">
        <v>828</v>
      </c>
      <c r="H17" s="118" t="s">
        <v>996</v>
      </c>
      <c r="I17" s="118" t="s">
        <v>828</v>
      </c>
      <c r="J17" s="118" t="s">
        <v>1003</v>
      </c>
      <c r="K17" s="118" t="s">
        <v>1004</v>
      </c>
      <c r="L17" s="118" t="s">
        <v>859</v>
      </c>
      <c r="M17" s="118" t="s">
        <v>828</v>
      </c>
      <c r="N17" s="124" t="s">
        <v>1005</v>
      </c>
      <c r="O17" s="52"/>
      <c r="P17" s="52"/>
      <c r="Q17" s="52"/>
    </row>
    <row r="18" spans="1:17">
      <c r="A18" s="128" t="s">
        <v>144</v>
      </c>
      <c r="B18" s="114" t="s">
        <v>880</v>
      </c>
      <c r="C18" s="114" t="s">
        <v>858</v>
      </c>
      <c r="D18" s="114" t="s">
        <v>698</v>
      </c>
      <c r="E18" s="114" t="s">
        <v>391</v>
      </c>
      <c r="F18" s="114" t="s">
        <v>880</v>
      </c>
      <c r="G18" s="114" t="s">
        <v>442</v>
      </c>
      <c r="H18" s="114" t="s">
        <v>460</v>
      </c>
      <c r="I18" s="114" t="s">
        <v>417</v>
      </c>
      <c r="J18" s="114" t="s">
        <v>627</v>
      </c>
      <c r="K18" s="114" t="s">
        <v>816</v>
      </c>
      <c r="L18" s="114" t="s">
        <v>272</v>
      </c>
      <c r="M18" s="114" t="s">
        <v>555</v>
      </c>
      <c r="N18" s="125" t="s">
        <v>555</v>
      </c>
      <c r="O18" s="52"/>
      <c r="P18" s="52"/>
      <c r="Q18" s="52"/>
    </row>
    <row r="19" spans="1:17" s="142" customFormat="1" ht="75">
      <c r="A19" s="138" t="s">
        <v>955</v>
      </c>
      <c r="B19" s="139" t="s">
        <v>828</v>
      </c>
      <c r="C19" s="139" t="s">
        <v>956</v>
      </c>
      <c r="D19" s="139" t="s">
        <v>957</v>
      </c>
      <c r="E19" s="139" t="s">
        <v>958</v>
      </c>
      <c r="F19" s="139" t="s">
        <v>828</v>
      </c>
      <c r="G19" s="139" t="s">
        <v>959</v>
      </c>
      <c r="H19" s="139" t="s">
        <v>956</v>
      </c>
      <c r="I19" s="139" t="s">
        <v>960</v>
      </c>
      <c r="J19" s="139" t="s">
        <v>961</v>
      </c>
      <c r="K19" s="139" t="s">
        <v>962</v>
      </c>
      <c r="L19" s="139" t="s">
        <v>963</v>
      </c>
      <c r="M19" s="139" t="s">
        <v>964</v>
      </c>
      <c r="N19" s="140" t="s">
        <v>964</v>
      </c>
      <c r="O19" s="141"/>
      <c r="P19" s="141"/>
      <c r="Q19" s="141"/>
    </row>
    <row r="20" spans="1:17" ht="15.75" thickBot="1">
      <c r="A20" s="129" t="s">
        <v>879</v>
      </c>
      <c r="B20" s="120">
        <v>25</v>
      </c>
      <c r="C20" s="120">
        <v>25</v>
      </c>
      <c r="D20" s="120">
        <v>25</v>
      </c>
      <c r="E20" s="120">
        <v>25</v>
      </c>
      <c r="F20" s="120">
        <v>25</v>
      </c>
      <c r="G20" s="120">
        <v>25</v>
      </c>
      <c r="H20" s="120">
        <v>25</v>
      </c>
      <c r="I20" s="120">
        <v>25</v>
      </c>
      <c r="J20" s="120">
        <v>25</v>
      </c>
      <c r="K20" s="120">
        <v>25</v>
      </c>
      <c r="L20" s="120">
        <v>25</v>
      </c>
      <c r="M20" s="120">
        <v>25</v>
      </c>
      <c r="N20" s="126">
        <v>25</v>
      </c>
      <c r="O20" s="52"/>
      <c r="P20" s="52"/>
      <c r="Q20" s="52"/>
    </row>
    <row r="21" spans="1:17">
      <c r="A21" s="132" t="s">
        <v>868</v>
      </c>
      <c r="B21" s="134" t="s">
        <v>819</v>
      </c>
      <c r="C21" s="134" t="s">
        <v>819</v>
      </c>
      <c r="D21" s="134" t="s">
        <v>843</v>
      </c>
      <c r="E21" s="134" t="s">
        <v>850</v>
      </c>
      <c r="F21" s="134" t="s">
        <v>823</v>
      </c>
      <c r="G21" s="134" t="s">
        <v>819</v>
      </c>
      <c r="H21" s="134" t="s">
        <v>874</v>
      </c>
      <c r="I21" s="134" t="s">
        <v>853</v>
      </c>
      <c r="J21" s="134" t="s">
        <v>819</v>
      </c>
      <c r="K21" s="134" t="s">
        <v>819</v>
      </c>
      <c r="L21" s="134" t="s">
        <v>877</v>
      </c>
      <c r="M21" s="134" t="s">
        <v>853</v>
      </c>
      <c r="N21" s="134" t="s">
        <v>910</v>
      </c>
      <c r="O21" s="52"/>
      <c r="P21" s="52"/>
      <c r="Q21" s="52"/>
    </row>
    <row r="22" spans="1:17">
      <c r="B22" s="134" t="s">
        <v>844</v>
      </c>
      <c r="C22" s="134" t="s">
        <v>820</v>
      </c>
      <c r="D22" s="135" t="s">
        <v>845</v>
      </c>
      <c r="E22" s="134" t="s">
        <v>870</v>
      </c>
      <c r="F22" s="135" t="s">
        <v>947</v>
      </c>
      <c r="G22" s="134" t="s">
        <v>820</v>
      </c>
      <c r="H22" s="134" t="s">
        <v>873</v>
      </c>
      <c r="I22" s="134" t="s">
        <v>820</v>
      </c>
      <c r="J22" s="134" t="s">
        <v>820</v>
      </c>
      <c r="K22" s="134" t="s">
        <v>876</v>
      </c>
      <c r="L22" s="134" t="s">
        <v>845</v>
      </c>
      <c r="M22" s="134" t="s">
        <v>820</v>
      </c>
      <c r="N22" s="134" t="s">
        <v>820</v>
      </c>
      <c r="O22" s="52"/>
      <c r="P22" s="52"/>
      <c r="Q22" s="52"/>
    </row>
    <row r="23" spans="1:17">
      <c r="B23" s="134" t="s">
        <v>842</v>
      </c>
      <c r="C23" s="134" t="s">
        <v>818</v>
      </c>
      <c r="D23" s="134" t="s">
        <v>849</v>
      </c>
      <c r="E23" s="134" t="s">
        <v>869</v>
      </c>
      <c r="F23" s="134" t="s">
        <v>852</v>
      </c>
      <c r="G23" s="135" t="s">
        <v>818</v>
      </c>
      <c r="H23" s="134" t="s">
        <v>818</v>
      </c>
      <c r="I23" s="134" t="s">
        <v>852</v>
      </c>
      <c r="J23" s="134" t="s">
        <v>818</v>
      </c>
      <c r="K23" s="134" t="s">
        <v>818</v>
      </c>
      <c r="L23" s="134" t="s">
        <v>878</v>
      </c>
      <c r="M23" s="134" t="s">
        <v>818</v>
      </c>
      <c r="N23" s="134" t="s">
        <v>818</v>
      </c>
      <c r="O23" s="52"/>
      <c r="P23" s="52"/>
      <c r="Q23" s="52"/>
    </row>
    <row r="24" spans="1:17">
      <c r="B24" s="134" t="s">
        <v>846</v>
      </c>
      <c r="C24" s="134" t="s">
        <v>822</v>
      </c>
      <c r="D24" s="134" t="s">
        <v>872</v>
      </c>
      <c r="E24" s="134" t="s">
        <v>847</v>
      </c>
      <c r="F24" s="134" t="s">
        <v>822</v>
      </c>
      <c r="G24" s="135" t="s">
        <v>822</v>
      </c>
      <c r="H24" s="134" t="s">
        <v>822</v>
      </c>
      <c r="I24" s="134" t="s">
        <v>822</v>
      </c>
      <c r="J24" s="134" t="s">
        <v>822</v>
      </c>
      <c r="K24" s="134" t="s">
        <v>854</v>
      </c>
      <c r="L24" s="134" t="s">
        <v>846</v>
      </c>
      <c r="M24" s="134" t="s">
        <v>822</v>
      </c>
      <c r="N24" s="134" t="s">
        <v>854</v>
      </c>
      <c r="O24" s="52"/>
      <c r="P24" s="52"/>
      <c r="Q24" s="52"/>
    </row>
    <row r="25" spans="1:17">
      <c r="B25" s="134" t="s">
        <v>821</v>
      </c>
      <c r="C25" s="134" t="s">
        <v>848</v>
      </c>
      <c r="D25" s="134" t="s">
        <v>871</v>
      </c>
      <c r="E25" s="134" t="s">
        <v>821</v>
      </c>
      <c r="F25" s="134" t="s">
        <v>821</v>
      </c>
      <c r="G25" s="134" t="s">
        <v>821</v>
      </c>
      <c r="H25" s="134" t="s">
        <v>821</v>
      </c>
      <c r="I25" s="134" t="s">
        <v>821</v>
      </c>
      <c r="J25" s="134" t="s">
        <v>821</v>
      </c>
      <c r="K25" s="134" t="s">
        <v>821</v>
      </c>
      <c r="L25" s="134" t="s">
        <v>821</v>
      </c>
      <c r="M25" s="134" t="s">
        <v>848</v>
      </c>
      <c r="N25" s="134" t="s">
        <v>911</v>
      </c>
      <c r="O25" s="52"/>
      <c r="P25" s="52"/>
      <c r="Q25" s="52"/>
    </row>
    <row r="26" spans="1:17">
      <c r="B26" s="135" t="s">
        <v>841</v>
      </c>
      <c r="C26" s="134" t="s">
        <v>851</v>
      </c>
      <c r="D26" s="134" t="s">
        <v>824</v>
      </c>
      <c r="E26" s="134" t="s">
        <v>817</v>
      </c>
      <c r="F26" s="134" t="s">
        <v>851</v>
      </c>
      <c r="G26" s="134" t="s">
        <v>824</v>
      </c>
      <c r="H26" s="134" t="s">
        <v>851</v>
      </c>
      <c r="I26" s="134" t="s">
        <v>824</v>
      </c>
      <c r="J26" s="134" t="s">
        <v>824</v>
      </c>
      <c r="K26" s="134" t="s">
        <v>875</v>
      </c>
      <c r="L26" s="134" t="s">
        <v>817</v>
      </c>
      <c r="M26" s="134" t="s">
        <v>824</v>
      </c>
      <c r="N26" s="134" t="s">
        <v>824</v>
      </c>
      <c r="O26" s="52"/>
      <c r="P26" s="52"/>
      <c r="Q26" s="52"/>
    </row>
    <row r="27" spans="1:17">
      <c r="A27" s="132" t="s">
        <v>860</v>
      </c>
      <c r="B27" s="4" t="s">
        <v>147</v>
      </c>
      <c r="C27" s="4" t="s">
        <v>150</v>
      </c>
      <c r="D27" s="4" t="s">
        <v>148</v>
      </c>
      <c r="E27" s="4" t="s">
        <v>149</v>
      </c>
      <c r="F27" s="4" t="s">
        <v>145</v>
      </c>
      <c r="G27" s="53" t="s">
        <v>145</v>
      </c>
      <c r="H27" s="53" t="s">
        <v>145</v>
      </c>
      <c r="I27" s="4" t="s">
        <v>145</v>
      </c>
      <c r="J27" s="4" t="s">
        <v>148</v>
      </c>
      <c r="K27" s="4" t="s">
        <v>147</v>
      </c>
      <c r="L27" s="4" t="s">
        <v>150</v>
      </c>
      <c r="M27" s="4" t="s">
        <v>145</v>
      </c>
      <c r="N27" s="4" t="s">
        <v>150</v>
      </c>
    </row>
    <row r="28" spans="1:17">
      <c r="A28" s="132"/>
      <c r="B28" s="4" t="s">
        <v>145</v>
      </c>
      <c r="C28" s="4" t="s">
        <v>145</v>
      </c>
      <c r="D28" s="4" t="s">
        <v>146</v>
      </c>
      <c r="E28" s="4" t="s">
        <v>145</v>
      </c>
      <c r="F28" s="4" t="s">
        <v>149</v>
      </c>
      <c r="G28" s="53" t="s">
        <v>150</v>
      </c>
      <c r="H28" s="53" t="s">
        <v>150</v>
      </c>
      <c r="I28" s="4" t="s">
        <v>146</v>
      </c>
      <c r="J28" s="4" t="s">
        <v>145</v>
      </c>
      <c r="K28" s="4" t="s">
        <v>145</v>
      </c>
      <c r="L28" s="4" t="s">
        <v>149</v>
      </c>
      <c r="M28" s="4" t="s">
        <v>147</v>
      </c>
      <c r="N28" s="52" t="s">
        <v>148</v>
      </c>
    </row>
    <row r="29" spans="1:17">
      <c r="A29" s="132"/>
      <c r="B29" s="4" t="s">
        <v>149</v>
      </c>
      <c r="C29" s="4" t="s">
        <v>149</v>
      </c>
      <c r="D29" s="4" t="s">
        <v>149</v>
      </c>
      <c r="E29" s="4" t="s">
        <v>147</v>
      </c>
      <c r="F29" s="4" t="s">
        <v>146</v>
      </c>
      <c r="G29" s="53" t="s">
        <v>148</v>
      </c>
      <c r="H29" s="53" t="s">
        <v>149</v>
      </c>
      <c r="I29" s="4" t="s">
        <v>147</v>
      </c>
      <c r="J29" s="4" t="s">
        <v>149</v>
      </c>
      <c r="K29" s="4" t="s">
        <v>149</v>
      </c>
      <c r="L29" s="4" t="s">
        <v>145</v>
      </c>
      <c r="M29" s="4" t="s">
        <v>149</v>
      </c>
      <c r="N29" s="52" t="s">
        <v>149</v>
      </c>
    </row>
    <row r="30" spans="1:17">
      <c r="A30" s="132"/>
      <c r="B30" s="4" t="s">
        <v>146</v>
      </c>
      <c r="C30" s="4" t="s">
        <v>146</v>
      </c>
      <c r="D30" s="4" t="s">
        <v>150</v>
      </c>
      <c r="E30" s="4" t="s">
        <v>146</v>
      </c>
      <c r="F30" s="4" t="s">
        <v>148</v>
      </c>
      <c r="G30" s="53" t="s">
        <v>147</v>
      </c>
      <c r="H30" s="53" t="s">
        <v>146</v>
      </c>
      <c r="I30" s="4" t="s">
        <v>148</v>
      </c>
      <c r="J30" s="4" t="s">
        <v>146</v>
      </c>
      <c r="K30" s="4" t="s">
        <v>148</v>
      </c>
      <c r="L30" s="4" t="s">
        <v>147</v>
      </c>
      <c r="M30" s="4" t="s">
        <v>146</v>
      </c>
      <c r="N30" s="52" t="s">
        <v>145</v>
      </c>
    </row>
    <row r="31" spans="1:17">
      <c r="A31" s="132"/>
      <c r="B31" s="4" t="s">
        <v>148</v>
      </c>
      <c r="C31" s="4" t="s">
        <v>148</v>
      </c>
      <c r="D31" s="4" t="s">
        <v>145</v>
      </c>
      <c r="E31" s="4" t="s">
        <v>150</v>
      </c>
      <c r="F31" s="4" t="s">
        <v>147</v>
      </c>
      <c r="G31" s="53" t="s">
        <v>149</v>
      </c>
      <c r="H31" s="53" t="s">
        <v>148</v>
      </c>
      <c r="I31" s="4" t="s">
        <v>149</v>
      </c>
      <c r="J31" s="4" t="s">
        <v>150</v>
      </c>
      <c r="K31" s="4" t="s">
        <v>150</v>
      </c>
      <c r="L31" s="4" t="s">
        <v>146</v>
      </c>
      <c r="M31" s="4" t="s">
        <v>150</v>
      </c>
      <c r="N31" s="52" t="s">
        <v>147</v>
      </c>
    </row>
    <row r="32" spans="1:17">
      <c r="A32" s="132"/>
      <c r="B32" s="4" t="s">
        <v>150</v>
      </c>
      <c r="C32" s="4" t="s">
        <v>147</v>
      </c>
      <c r="D32" s="4" t="s">
        <v>147</v>
      </c>
      <c r="E32" s="4" t="s">
        <v>148</v>
      </c>
      <c r="F32" s="4" t="s">
        <v>150</v>
      </c>
      <c r="G32" s="53" t="s">
        <v>146</v>
      </c>
      <c r="H32" s="53" t="s">
        <v>147</v>
      </c>
      <c r="I32" s="4" t="s">
        <v>150</v>
      </c>
      <c r="J32" s="4" t="s">
        <v>147</v>
      </c>
      <c r="K32" s="4" t="s">
        <v>146</v>
      </c>
      <c r="L32" s="4" t="s">
        <v>148</v>
      </c>
      <c r="M32" s="4" t="s">
        <v>148</v>
      </c>
      <c r="N32" s="52" t="s">
        <v>146</v>
      </c>
    </row>
    <row r="33" spans="1:14">
      <c r="A33" s="132" t="s">
        <v>861</v>
      </c>
      <c r="B33" s="48" t="s">
        <v>862</v>
      </c>
      <c r="D33" s="48" t="s">
        <v>863</v>
      </c>
      <c r="F33" s="48" t="s">
        <v>864</v>
      </c>
    </row>
    <row r="34" spans="1:14">
      <c r="A34" s="132" t="s">
        <v>928</v>
      </c>
      <c r="B34" s="4" t="s">
        <v>828</v>
      </c>
      <c r="C34" s="4" t="s">
        <v>828</v>
      </c>
      <c r="D34" s="4" t="s">
        <v>192</v>
      </c>
      <c r="E34" s="4" t="s">
        <v>167</v>
      </c>
      <c r="F34" s="4" t="s">
        <v>828</v>
      </c>
      <c r="G34" s="53" t="s">
        <v>828</v>
      </c>
      <c r="H34" s="4" t="s">
        <v>997</v>
      </c>
      <c r="I34" s="4" t="s">
        <v>828</v>
      </c>
      <c r="J34" s="4" t="s">
        <v>992</v>
      </c>
      <c r="K34" s="4" t="s">
        <v>1001</v>
      </c>
      <c r="L34" s="4" t="s">
        <v>828</v>
      </c>
      <c r="N34" s="4" t="s">
        <v>1006</v>
      </c>
    </row>
    <row r="35" spans="1:14">
      <c r="D35" s="4" t="s">
        <v>991</v>
      </c>
      <c r="E35" s="4" t="s">
        <v>993</v>
      </c>
      <c r="H35" s="4" t="s">
        <v>168</v>
      </c>
      <c r="J35" s="4" t="s">
        <v>999</v>
      </c>
      <c r="K35" s="4" t="s">
        <v>1000</v>
      </c>
      <c r="N35" s="52" t="s">
        <v>163</v>
      </c>
    </row>
    <row r="36" spans="1:14">
      <c r="D36" s="4" t="s">
        <v>992</v>
      </c>
      <c r="E36" s="4" t="s">
        <v>118</v>
      </c>
      <c r="H36" s="4" t="s">
        <v>998</v>
      </c>
      <c r="J36" s="4" t="s">
        <v>192</v>
      </c>
      <c r="K36" s="4" t="s">
        <v>118</v>
      </c>
      <c r="N36" s="52" t="s">
        <v>804</v>
      </c>
    </row>
    <row r="37" spans="1:14">
      <c r="B37" s="107"/>
      <c r="C37" s="107"/>
      <c r="D37" s="107"/>
      <c r="E37" s="107"/>
      <c r="F37" s="107"/>
      <c r="G37" s="107"/>
      <c r="H37" s="107"/>
      <c r="I37" s="107"/>
      <c r="J37" s="107"/>
      <c r="K37" s="107"/>
      <c r="L37" s="107"/>
      <c r="M37" s="107"/>
      <c r="N37" s="108"/>
    </row>
    <row r="38" spans="1:14">
      <c r="A38" s="132" t="s">
        <v>929</v>
      </c>
      <c r="B38" s="4" t="s">
        <v>930</v>
      </c>
      <c r="C38" s="4" t="s">
        <v>930</v>
      </c>
      <c r="D38" s="4" t="s">
        <v>931</v>
      </c>
      <c r="E38" s="4" t="s">
        <v>932</v>
      </c>
      <c r="F38" s="4" t="s">
        <v>151</v>
      </c>
      <c r="G38" s="53" t="s">
        <v>933</v>
      </c>
      <c r="H38" s="53" t="s">
        <v>934</v>
      </c>
      <c r="I38" s="4" t="s">
        <v>151</v>
      </c>
      <c r="J38" s="4" t="s">
        <v>935</v>
      </c>
      <c r="K38" s="4" t="s">
        <v>935</v>
      </c>
      <c r="L38" s="4" t="s">
        <v>936</v>
      </c>
      <c r="M38" s="4" t="s">
        <v>1002</v>
      </c>
      <c r="N38" s="4" t="s">
        <v>937</v>
      </c>
    </row>
    <row r="39" spans="1:14">
      <c r="A39" s="132" t="s">
        <v>921</v>
      </c>
      <c r="B39" s="4" t="s">
        <v>922</v>
      </c>
      <c r="C39" s="4" t="s">
        <v>884</v>
      </c>
      <c r="D39" s="4" t="s">
        <v>884</v>
      </c>
      <c r="E39" s="4" t="s">
        <v>885</v>
      </c>
      <c r="F39" s="4" t="s">
        <v>922</v>
      </c>
      <c r="G39" s="4" t="s">
        <v>885</v>
      </c>
      <c r="H39" s="4" t="s">
        <v>883</v>
      </c>
      <c r="I39" s="4" t="s">
        <v>884</v>
      </c>
      <c r="J39" s="4" t="s">
        <v>883</v>
      </c>
      <c r="K39" s="4" t="s">
        <v>883</v>
      </c>
      <c r="L39" s="4" t="s">
        <v>885</v>
      </c>
      <c r="M39" s="4" t="s">
        <v>883</v>
      </c>
      <c r="N39" s="4" t="s">
        <v>922</v>
      </c>
    </row>
    <row r="40" spans="1:14">
      <c r="A40" s="132" t="s">
        <v>923</v>
      </c>
      <c r="B40" s="4" t="s">
        <v>151</v>
      </c>
      <c r="C40" s="4" t="s">
        <v>151</v>
      </c>
      <c r="D40" s="4" t="s">
        <v>883</v>
      </c>
      <c r="E40" s="4" t="s">
        <v>883</v>
      </c>
      <c r="F40" s="4" t="s">
        <v>151</v>
      </c>
      <c r="G40" s="4" t="s">
        <v>151</v>
      </c>
      <c r="H40" s="4" t="s">
        <v>922</v>
      </c>
      <c r="I40" s="4" t="s">
        <v>151</v>
      </c>
      <c r="J40" s="4" t="s">
        <v>884</v>
      </c>
      <c r="K40" s="4" t="s">
        <v>886</v>
      </c>
      <c r="L40" s="4" t="s">
        <v>884</v>
      </c>
      <c r="M40" s="4" t="s">
        <v>151</v>
      </c>
      <c r="N40" s="4" t="s">
        <v>883</v>
      </c>
    </row>
    <row r="41" spans="1:14">
      <c r="A41" s="132" t="s">
        <v>924</v>
      </c>
      <c r="B41" s="4" t="s">
        <v>883</v>
      </c>
      <c r="C41" s="4" t="s">
        <v>883</v>
      </c>
      <c r="D41" s="4" t="s">
        <v>886</v>
      </c>
      <c r="E41" s="4" t="s">
        <v>884</v>
      </c>
      <c r="F41" s="4" t="s">
        <v>883</v>
      </c>
      <c r="G41" s="4" t="s">
        <v>884</v>
      </c>
      <c r="H41" s="4" t="s">
        <v>884</v>
      </c>
      <c r="I41" s="4" t="s">
        <v>883</v>
      </c>
      <c r="J41" s="4" t="s">
        <v>883</v>
      </c>
      <c r="K41" s="4" t="s">
        <v>883</v>
      </c>
      <c r="L41" s="4" t="s">
        <v>883</v>
      </c>
      <c r="M41" s="4" t="s">
        <v>922</v>
      </c>
      <c r="N41" s="4" t="s">
        <v>884</v>
      </c>
    </row>
    <row r="42" spans="1:14">
      <c r="A42" s="132" t="s">
        <v>925</v>
      </c>
      <c r="B42" s="4" t="s">
        <v>886</v>
      </c>
      <c r="C42" s="4" t="s">
        <v>922</v>
      </c>
      <c r="D42" s="4" t="s">
        <v>926</v>
      </c>
      <c r="E42" s="4" t="s">
        <v>883</v>
      </c>
      <c r="F42" s="4" t="s">
        <v>885</v>
      </c>
      <c r="G42" s="4" t="s">
        <v>883</v>
      </c>
      <c r="H42" s="4" t="s">
        <v>883</v>
      </c>
      <c r="I42" s="4" t="s">
        <v>886</v>
      </c>
      <c r="J42" s="4" t="s">
        <v>884</v>
      </c>
      <c r="K42" s="4" t="s">
        <v>922</v>
      </c>
      <c r="L42" s="4" t="s">
        <v>885</v>
      </c>
      <c r="M42" s="4" t="s">
        <v>883</v>
      </c>
      <c r="N42" s="4" t="s">
        <v>884</v>
      </c>
    </row>
    <row r="43" spans="1:14">
      <c r="A43" s="132" t="s">
        <v>927</v>
      </c>
      <c r="B43" s="4" t="s">
        <v>886</v>
      </c>
      <c r="C43" s="4" t="s">
        <v>886</v>
      </c>
      <c r="D43" s="4" t="s">
        <v>885</v>
      </c>
      <c r="E43" s="4" t="s">
        <v>883</v>
      </c>
      <c r="F43" s="4" t="s">
        <v>884</v>
      </c>
      <c r="G43" s="4" t="s">
        <v>883</v>
      </c>
      <c r="H43" s="4" t="s">
        <v>883</v>
      </c>
      <c r="I43" s="4" t="s">
        <v>885</v>
      </c>
      <c r="J43" s="4" t="s">
        <v>885</v>
      </c>
      <c r="K43" s="4" t="s">
        <v>883</v>
      </c>
      <c r="L43" s="4" t="s">
        <v>884</v>
      </c>
      <c r="M43" s="4" t="s">
        <v>922</v>
      </c>
      <c r="N43" s="4" t="s">
        <v>885</v>
      </c>
    </row>
    <row r="44" spans="1:14">
      <c r="A44" s="132"/>
      <c r="G44" s="53"/>
      <c r="H44" s="53"/>
      <c r="N44" s="52"/>
    </row>
    <row r="45" spans="1:14">
      <c r="A45" s="4"/>
    </row>
    <row r="46" spans="1:14">
      <c r="A46" s="132" t="s">
        <v>912</v>
      </c>
      <c r="B46" s="6"/>
      <c r="C46" s="6"/>
      <c r="D46" s="6"/>
      <c r="E46" s="6"/>
      <c r="F46" s="6"/>
      <c r="G46" s="6"/>
      <c r="H46" s="6"/>
      <c r="I46" s="6"/>
      <c r="J46" s="6"/>
      <c r="K46" s="6"/>
      <c r="L46" s="6"/>
      <c r="M46" s="6"/>
    </row>
    <row r="47" spans="1:14">
      <c r="A47" s="4"/>
      <c r="B47" s="6" t="s">
        <v>202</v>
      </c>
      <c r="C47" s="6" t="s">
        <v>837</v>
      </c>
      <c r="D47" s="6" t="s">
        <v>191</v>
      </c>
      <c r="E47" s="6" t="s">
        <v>200</v>
      </c>
      <c r="F47" s="6" t="s">
        <v>169</v>
      </c>
      <c r="G47" s="6" t="s">
        <v>152</v>
      </c>
      <c r="H47" s="6" t="s">
        <v>779</v>
      </c>
      <c r="I47" s="6" t="s">
        <v>143</v>
      </c>
      <c r="J47" s="6" t="s">
        <v>162</v>
      </c>
      <c r="K47" s="6" t="s">
        <v>170</v>
      </c>
      <c r="L47" s="6" t="s">
        <v>165</v>
      </c>
      <c r="M47" s="6" t="s">
        <v>199</v>
      </c>
      <c r="N47" s="6" t="s">
        <v>909</v>
      </c>
    </row>
    <row r="48" spans="1:14">
      <c r="A48" s="133" t="s">
        <v>202</v>
      </c>
      <c r="B48" s="51"/>
      <c r="C48" s="4">
        <v>0</v>
      </c>
      <c r="D48" s="4">
        <v>0</v>
      </c>
      <c r="E48" s="4">
        <v>0</v>
      </c>
      <c r="F48" s="4">
        <v>0</v>
      </c>
      <c r="G48" s="4">
        <v>0</v>
      </c>
      <c r="H48" s="4">
        <v>0</v>
      </c>
      <c r="I48" s="4">
        <v>0</v>
      </c>
      <c r="J48" s="4">
        <v>0</v>
      </c>
      <c r="K48" s="4">
        <v>0</v>
      </c>
      <c r="L48" s="4">
        <v>0</v>
      </c>
      <c r="M48" s="4">
        <v>0</v>
      </c>
      <c r="N48" s="4">
        <v>0</v>
      </c>
    </row>
    <row r="49" spans="1:14">
      <c r="A49" s="133" t="s">
        <v>837</v>
      </c>
      <c r="B49" s="51"/>
      <c r="C49" s="51"/>
      <c r="D49" s="4">
        <v>0</v>
      </c>
      <c r="E49" s="4">
        <v>0</v>
      </c>
      <c r="F49" s="4">
        <v>0</v>
      </c>
      <c r="G49" s="4">
        <v>0</v>
      </c>
      <c r="H49" s="4">
        <v>0</v>
      </c>
      <c r="I49" s="4">
        <v>0</v>
      </c>
      <c r="J49" s="4">
        <v>0</v>
      </c>
      <c r="K49" s="4">
        <v>0</v>
      </c>
      <c r="L49" s="4">
        <v>0</v>
      </c>
      <c r="M49" s="4">
        <v>0</v>
      </c>
      <c r="N49" s="4">
        <v>0</v>
      </c>
    </row>
    <row r="50" spans="1:14">
      <c r="A50" s="133" t="s">
        <v>191</v>
      </c>
      <c r="B50" s="51"/>
      <c r="C50" s="51"/>
      <c r="D50" s="51"/>
      <c r="E50" s="4">
        <v>0</v>
      </c>
      <c r="F50" s="4">
        <v>0</v>
      </c>
      <c r="G50" s="4">
        <v>0</v>
      </c>
      <c r="H50" s="4">
        <v>0</v>
      </c>
      <c r="I50" s="4">
        <v>0</v>
      </c>
      <c r="J50" s="4">
        <v>0</v>
      </c>
      <c r="K50" s="4">
        <v>0</v>
      </c>
      <c r="L50" s="4">
        <v>0</v>
      </c>
      <c r="M50" s="4">
        <v>0</v>
      </c>
      <c r="N50" s="4">
        <v>0</v>
      </c>
    </row>
    <row r="51" spans="1:14">
      <c r="A51" s="133" t="s">
        <v>200</v>
      </c>
      <c r="B51" s="51"/>
      <c r="C51" s="51"/>
      <c r="D51" s="51"/>
      <c r="E51" s="51"/>
      <c r="F51" s="4">
        <v>0</v>
      </c>
      <c r="G51" s="4">
        <v>0</v>
      </c>
      <c r="H51" s="4">
        <v>0</v>
      </c>
      <c r="I51" s="4">
        <v>0</v>
      </c>
      <c r="J51" s="4">
        <v>0</v>
      </c>
      <c r="K51" s="4">
        <v>0</v>
      </c>
      <c r="L51" s="4">
        <v>0</v>
      </c>
      <c r="M51" s="4">
        <v>0</v>
      </c>
      <c r="N51" s="4">
        <v>0</v>
      </c>
    </row>
    <row r="52" spans="1:14">
      <c r="A52" s="133" t="s">
        <v>169</v>
      </c>
      <c r="B52" s="51"/>
      <c r="C52" s="51"/>
      <c r="D52" s="51"/>
      <c r="E52" s="51"/>
      <c r="F52" s="51"/>
      <c r="G52" s="4">
        <v>0</v>
      </c>
      <c r="H52" s="4">
        <v>0</v>
      </c>
      <c r="I52" s="4">
        <v>0</v>
      </c>
      <c r="J52" s="4">
        <v>0</v>
      </c>
      <c r="K52" s="4">
        <v>0</v>
      </c>
      <c r="L52" s="4">
        <v>0</v>
      </c>
      <c r="M52" s="4">
        <v>0</v>
      </c>
      <c r="N52" s="4">
        <v>0</v>
      </c>
    </row>
    <row r="53" spans="1:14">
      <c r="A53" s="133" t="s">
        <v>152</v>
      </c>
      <c r="B53" s="51"/>
      <c r="C53" s="51"/>
      <c r="D53" s="51"/>
      <c r="E53" s="51"/>
      <c r="F53" s="51"/>
      <c r="G53" s="51"/>
      <c r="H53" s="4">
        <v>0</v>
      </c>
      <c r="I53" s="4">
        <v>0</v>
      </c>
      <c r="J53" s="4">
        <v>0</v>
      </c>
      <c r="K53" s="4">
        <v>0</v>
      </c>
      <c r="L53" s="4">
        <v>0</v>
      </c>
      <c r="M53" s="4">
        <v>0</v>
      </c>
      <c r="N53" s="4">
        <v>0</v>
      </c>
    </row>
    <row r="54" spans="1:14">
      <c r="A54" s="133" t="s">
        <v>779</v>
      </c>
      <c r="B54" s="51"/>
      <c r="C54" s="51"/>
      <c r="D54" s="51"/>
      <c r="E54" s="51"/>
      <c r="F54" s="51"/>
      <c r="G54" s="51"/>
      <c r="H54" s="51"/>
      <c r="I54" s="4">
        <v>0</v>
      </c>
      <c r="J54" s="4">
        <v>0</v>
      </c>
      <c r="K54" s="4">
        <v>0</v>
      </c>
      <c r="L54" s="4">
        <v>0</v>
      </c>
      <c r="M54" s="4">
        <v>0</v>
      </c>
      <c r="N54" s="4">
        <v>0</v>
      </c>
    </row>
    <row r="55" spans="1:14">
      <c r="A55" s="133" t="s">
        <v>143</v>
      </c>
      <c r="B55" s="51"/>
      <c r="C55" s="51"/>
      <c r="D55" s="51"/>
      <c r="E55" s="51"/>
      <c r="F55" s="51"/>
      <c r="G55" s="51"/>
      <c r="H55" s="51"/>
      <c r="I55" s="51"/>
      <c r="J55" s="4">
        <v>0</v>
      </c>
      <c r="K55" s="4">
        <v>0</v>
      </c>
      <c r="L55" s="4">
        <v>0</v>
      </c>
      <c r="M55" s="4">
        <v>0</v>
      </c>
      <c r="N55" s="4">
        <v>0</v>
      </c>
    </row>
    <row r="56" spans="1:14">
      <c r="A56" s="133" t="s">
        <v>162</v>
      </c>
      <c r="B56" s="51"/>
      <c r="C56" s="51"/>
      <c r="D56" s="51"/>
      <c r="E56" s="51"/>
      <c r="F56" s="51"/>
      <c r="G56" s="51"/>
      <c r="H56" s="51"/>
      <c r="I56" s="51"/>
      <c r="J56" s="51"/>
      <c r="K56" s="4">
        <v>0</v>
      </c>
      <c r="L56" s="4">
        <v>0</v>
      </c>
      <c r="M56" s="4">
        <v>0</v>
      </c>
      <c r="N56" s="4">
        <v>0</v>
      </c>
    </row>
    <row r="57" spans="1:14">
      <c r="A57" s="133" t="s">
        <v>170</v>
      </c>
      <c r="B57" s="51"/>
      <c r="C57" s="51"/>
      <c r="D57" s="51"/>
      <c r="E57" s="51"/>
      <c r="F57" s="51"/>
      <c r="G57" s="51"/>
      <c r="H57" s="51"/>
      <c r="I57" s="51"/>
      <c r="J57" s="51"/>
      <c r="K57" s="51"/>
      <c r="L57" s="4">
        <v>0</v>
      </c>
      <c r="M57" s="4">
        <v>0</v>
      </c>
      <c r="N57" s="4">
        <v>0</v>
      </c>
    </row>
    <row r="58" spans="1:14">
      <c r="A58" s="133" t="s">
        <v>165</v>
      </c>
      <c r="B58" s="51"/>
      <c r="C58" s="51"/>
      <c r="D58" s="51"/>
      <c r="E58" s="51"/>
      <c r="F58" s="51"/>
      <c r="G58" s="51"/>
      <c r="H58" s="51"/>
      <c r="I58" s="51"/>
      <c r="J58" s="51"/>
      <c r="K58" s="51"/>
      <c r="L58" s="51"/>
      <c r="M58" s="4">
        <v>0</v>
      </c>
      <c r="N58" s="4">
        <v>0</v>
      </c>
    </row>
    <row r="59" spans="1:14">
      <c r="A59" s="133" t="s">
        <v>199</v>
      </c>
      <c r="B59" s="51"/>
      <c r="C59" s="51"/>
      <c r="D59" s="51"/>
      <c r="E59" s="51"/>
      <c r="F59" s="51"/>
      <c r="G59" s="51"/>
      <c r="H59" s="51"/>
      <c r="I59" s="51"/>
      <c r="J59" s="51"/>
      <c r="K59" s="51"/>
      <c r="L59" s="51"/>
      <c r="M59" s="51"/>
      <c r="N59" s="4">
        <v>0</v>
      </c>
    </row>
    <row r="60" spans="1:14">
      <c r="A60" s="133" t="s">
        <v>909</v>
      </c>
      <c r="B60" s="51"/>
      <c r="C60" s="51"/>
      <c r="D60" s="51"/>
      <c r="E60" s="51"/>
      <c r="F60" s="51"/>
      <c r="G60" s="51"/>
      <c r="H60" s="51"/>
      <c r="I60" s="51"/>
      <c r="J60" s="51"/>
      <c r="K60" s="51"/>
      <c r="L60" s="51"/>
      <c r="M60" s="51"/>
      <c r="N60" s="51"/>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N20"/>
  <sheetViews>
    <sheetView workbookViewId="0">
      <selection activeCell="M2" sqref="M2:M20"/>
    </sheetView>
  </sheetViews>
  <sheetFormatPr defaultRowHeight="15"/>
  <cols>
    <col min="13" max="13" width="10.85546875" bestFit="1" customWidth="1"/>
  </cols>
  <sheetData>
    <row r="1" spans="1:14">
      <c r="A1" t="s">
        <v>883</v>
      </c>
      <c r="B1">
        <v>0</v>
      </c>
      <c r="D1" t="s">
        <v>884</v>
      </c>
      <c r="E1">
        <v>0</v>
      </c>
      <c r="G1" t="s">
        <v>885</v>
      </c>
      <c r="H1">
        <v>0</v>
      </c>
      <c r="J1" t="s">
        <v>886</v>
      </c>
      <c r="K1">
        <v>0</v>
      </c>
      <c r="M1" t="s">
        <v>887</v>
      </c>
      <c r="N1">
        <v>0</v>
      </c>
    </row>
    <row r="2" spans="1:14">
      <c r="A2" s="54">
        <f t="shared" ref="A2:A10" si="0">75/900</f>
        <v>8.3333333333333329E-2</v>
      </c>
      <c r="B2" s="54">
        <f>A2</f>
        <v>8.3333333333333329E-2</v>
      </c>
      <c r="C2" s="54"/>
      <c r="D2" s="54">
        <f>76/900+0.04</f>
        <v>0.12444444444444444</v>
      </c>
      <c r="E2" s="54">
        <f>D2</f>
        <v>0.12444444444444444</v>
      </c>
      <c r="F2" s="54"/>
      <c r="G2" s="54">
        <f>74/900-0.04</f>
        <v>4.2222222222222223E-2</v>
      </c>
      <c r="H2" s="54">
        <f>G2</f>
        <v>4.2222222222222223E-2</v>
      </c>
      <c r="I2" s="54"/>
      <c r="J2" s="54">
        <v>0.05</v>
      </c>
      <c r="K2" s="54">
        <f>J2</f>
        <v>0.05</v>
      </c>
      <c r="L2" s="54"/>
      <c r="M2" s="54">
        <v>0.12</v>
      </c>
      <c r="N2" s="54">
        <f>M2</f>
        <v>0.12</v>
      </c>
    </row>
    <row r="3" spans="1:14">
      <c r="A3" s="54">
        <f t="shared" si="0"/>
        <v>8.3333333333333329E-2</v>
      </c>
      <c r="B3" s="54">
        <f>B2+A3</f>
        <v>0.16666666666666666</v>
      </c>
      <c r="C3" s="54"/>
      <c r="D3" s="54">
        <f>76/900+0.03</f>
        <v>0.11444444444444445</v>
      </c>
      <c r="E3" s="54">
        <f>E2+D3</f>
        <v>0.23888888888888887</v>
      </c>
      <c r="F3" s="54"/>
      <c r="G3" s="54">
        <f>74/900-0.03</f>
        <v>5.2222222222222225E-2</v>
      </c>
      <c r="H3" s="54">
        <f>H2+G3</f>
        <v>9.4444444444444442E-2</v>
      </c>
      <c r="I3" s="54"/>
      <c r="J3" s="54">
        <v>7.0000000000000007E-2</v>
      </c>
      <c r="K3" s="54">
        <f>K2+J3</f>
        <v>0.12000000000000001</v>
      </c>
      <c r="L3" s="54"/>
      <c r="M3" s="54">
        <v>0.1</v>
      </c>
      <c r="N3" s="54">
        <f>N2+M3</f>
        <v>0.22</v>
      </c>
    </row>
    <row r="4" spans="1:14">
      <c r="A4" s="54">
        <f t="shared" si="0"/>
        <v>8.3333333333333329E-2</v>
      </c>
      <c r="B4" s="54">
        <f t="shared" ref="B4:B20" si="1">B3+A4</f>
        <v>0.25</v>
      </c>
      <c r="C4" s="54"/>
      <c r="D4" s="54">
        <f>76/900+0.02</f>
        <v>0.10444444444444445</v>
      </c>
      <c r="E4" s="54">
        <f t="shared" ref="E4:E20" si="2">E3+D4</f>
        <v>0.34333333333333332</v>
      </c>
      <c r="F4" s="54"/>
      <c r="G4" s="54">
        <f>74/900-0.02</f>
        <v>6.222222222222222E-2</v>
      </c>
      <c r="H4" s="54">
        <f t="shared" ref="H4:H20" si="3">H3+G4</f>
        <v>0.15666666666666668</v>
      </c>
      <c r="I4" s="54"/>
      <c r="J4" s="54">
        <v>8.5000000000000006E-2</v>
      </c>
      <c r="K4" s="54">
        <f t="shared" ref="K4:K20" si="4">K3+J4</f>
        <v>0.20500000000000002</v>
      </c>
      <c r="L4" s="54"/>
      <c r="M4" s="54">
        <v>0.08</v>
      </c>
      <c r="N4" s="54">
        <f t="shared" ref="N4:N20" si="5">N3+M4</f>
        <v>0.3</v>
      </c>
    </row>
    <row r="5" spans="1:14">
      <c r="A5" s="54">
        <f t="shared" si="0"/>
        <v>8.3333333333333329E-2</v>
      </c>
      <c r="B5" s="54">
        <f t="shared" si="1"/>
        <v>0.33333333333333331</v>
      </c>
      <c r="C5" s="54"/>
      <c r="D5" s="54">
        <f>76/900+0.01</f>
        <v>9.4444444444444442E-2</v>
      </c>
      <c r="E5" s="54">
        <f t="shared" si="2"/>
        <v>0.43777777777777777</v>
      </c>
      <c r="F5" s="54"/>
      <c r="G5" s="54">
        <f>74/900-0.01</f>
        <v>7.2222222222222229E-2</v>
      </c>
      <c r="H5" s="54">
        <f t="shared" si="3"/>
        <v>0.22888888888888892</v>
      </c>
      <c r="I5" s="54"/>
      <c r="J5" s="54">
        <v>0.105</v>
      </c>
      <c r="K5" s="54">
        <f t="shared" si="4"/>
        <v>0.31</v>
      </c>
      <c r="L5" s="54"/>
      <c r="M5" s="54">
        <v>0.06</v>
      </c>
      <c r="N5" s="54">
        <f t="shared" si="5"/>
        <v>0.36</v>
      </c>
    </row>
    <row r="6" spans="1:14">
      <c r="A6" s="54">
        <f t="shared" si="0"/>
        <v>8.3333333333333329E-2</v>
      </c>
      <c r="B6" s="54">
        <f t="shared" si="1"/>
        <v>0.41666666666666663</v>
      </c>
      <c r="C6" s="54"/>
      <c r="D6" s="54">
        <f>76/900</f>
        <v>8.4444444444444447E-2</v>
      </c>
      <c r="E6" s="54">
        <f t="shared" si="2"/>
        <v>0.52222222222222225</v>
      </c>
      <c r="F6" s="54"/>
      <c r="G6" s="54">
        <f>74/900</f>
        <v>8.2222222222222224E-2</v>
      </c>
      <c r="H6" s="54">
        <f t="shared" si="3"/>
        <v>0.31111111111111112</v>
      </c>
      <c r="I6" s="54"/>
      <c r="J6" s="54">
        <v>0.13</v>
      </c>
      <c r="K6" s="54">
        <f t="shared" si="4"/>
        <v>0.44</v>
      </c>
      <c r="L6" s="54"/>
      <c r="M6" s="54">
        <v>0.03</v>
      </c>
      <c r="N6" s="54">
        <f t="shared" si="5"/>
        <v>0.39</v>
      </c>
    </row>
    <row r="7" spans="1:14">
      <c r="A7" s="54">
        <f t="shared" si="0"/>
        <v>8.3333333333333329E-2</v>
      </c>
      <c r="B7" s="54">
        <f t="shared" si="1"/>
        <v>0.49999999999999994</v>
      </c>
      <c r="C7" s="54"/>
      <c r="D7" s="54">
        <f>76/900-0.01</f>
        <v>7.4444444444444452E-2</v>
      </c>
      <c r="E7" s="54">
        <f t="shared" si="2"/>
        <v>0.59666666666666668</v>
      </c>
      <c r="F7" s="54"/>
      <c r="G7" s="54">
        <f>74/900+0.01</f>
        <v>9.2222222222222219E-2</v>
      </c>
      <c r="H7" s="54">
        <f t="shared" si="3"/>
        <v>0.40333333333333332</v>
      </c>
      <c r="I7" s="54"/>
      <c r="J7" s="54">
        <v>0.105</v>
      </c>
      <c r="K7" s="54">
        <f t="shared" si="4"/>
        <v>0.54500000000000004</v>
      </c>
      <c r="L7" s="54"/>
      <c r="M7" s="54">
        <v>0.06</v>
      </c>
      <c r="N7" s="54">
        <f t="shared" si="5"/>
        <v>0.45</v>
      </c>
    </row>
    <row r="8" spans="1:14">
      <c r="A8" s="54">
        <f t="shared" si="0"/>
        <v>8.3333333333333329E-2</v>
      </c>
      <c r="B8" s="54">
        <f t="shared" si="1"/>
        <v>0.58333333333333326</v>
      </c>
      <c r="C8" s="54"/>
      <c r="D8" s="54">
        <f>76/900-0.02</f>
        <v>6.4444444444444443E-2</v>
      </c>
      <c r="E8" s="54">
        <f t="shared" si="2"/>
        <v>0.66111111111111109</v>
      </c>
      <c r="F8" s="54"/>
      <c r="G8" s="54">
        <f>74/900+0.02</f>
        <v>0.10222222222222223</v>
      </c>
      <c r="H8" s="54">
        <f t="shared" si="3"/>
        <v>0.50555555555555554</v>
      </c>
      <c r="I8" s="54"/>
      <c r="J8" s="54">
        <v>8.5000000000000006E-2</v>
      </c>
      <c r="K8" s="54">
        <f t="shared" si="4"/>
        <v>0.63</v>
      </c>
      <c r="L8" s="54"/>
      <c r="M8" s="54">
        <v>0.08</v>
      </c>
      <c r="N8" s="54">
        <f t="shared" si="5"/>
        <v>0.53</v>
      </c>
    </row>
    <row r="9" spans="1:14" ht="15.75" thickBot="1">
      <c r="A9" s="54">
        <f t="shared" si="0"/>
        <v>8.3333333333333329E-2</v>
      </c>
      <c r="B9" s="54">
        <f t="shared" si="1"/>
        <v>0.66666666666666663</v>
      </c>
      <c r="C9" s="54"/>
      <c r="D9" s="54">
        <f>76/900-0.03</f>
        <v>5.4444444444444448E-2</v>
      </c>
      <c r="E9" s="54">
        <f t="shared" si="2"/>
        <v>0.7155555555555555</v>
      </c>
      <c r="F9" s="54"/>
      <c r="G9" s="54">
        <f>74/900+0.03</f>
        <v>0.11222222222222222</v>
      </c>
      <c r="H9" s="54">
        <f t="shared" si="3"/>
        <v>0.61777777777777776</v>
      </c>
      <c r="I9" s="54"/>
      <c r="J9" s="54">
        <v>7.0000000000000007E-2</v>
      </c>
      <c r="K9" s="54">
        <f t="shared" si="4"/>
        <v>0.7</v>
      </c>
      <c r="L9" s="54"/>
      <c r="M9" s="54">
        <v>0.1</v>
      </c>
      <c r="N9" s="54">
        <f t="shared" si="5"/>
        <v>0.63</v>
      </c>
    </row>
    <row r="10" spans="1:14" ht="15.75" thickBot="1">
      <c r="A10" s="55">
        <f t="shared" si="0"/>
        <v>8.3333333333333329E-2</v>
      </c>
      <c r="B10" s="56">
        <f t="shared" si="1"/>
        <v>0.75</v>
      </c>
      <c r="C10" s="56"/>
      <c r="D10" s="56">
        <f>76/900-0.04</f>
        <v>4.4444444444444446E-2</v>
      </c>
      <c r="E10" s="56">
        <f t="shared" si="2"/>
        <v>0.7599999999999999</v>
      </c>
      <c r="F10" s="56"/>
      <c r="G10" s="56">
        <f>74/900+0.04</f>
        <v>0.12222222222222223</v>
      </c>
      <c r="H10" s="56">
        <f t="shared" si="3"/>
        <v>0.74</v>
      </c>
      <c r="I10" s="56"/>
      <c r="J10" s="56">
        <v>0.05</v>
      </c>
      <c r="K10" s="56">
        <f t="shared" si="4"/>
        <v>0.75</v>
      </c>
      <c r="L10" s="56"/>
      <c r="M10" s="56">
        <v>0.12</v>
      </c>
      <c r="N10" s="56">
        <f t="shared" si="5"/>
        <v>0.75</v>
      </c>
    </row>
    <row r="11" spans="1:14">
      <c r="A11" s="54">
        <f t="shared" ref="A11:A16" si="6">20/600</f>
        <v>3.3333333333333333E-2</v>
      </c>
      <c r="B11" s="54">
        <f t="shared" si="1"/>
        <v>0.78333333333333333</v>
      </c>
      <c r="C11" s="54"/>
      <c r="D11" s="54">
        <v>5.5E-2</v>
      </c>
      <c r="E11" s="54">
        <f t="shared" si="2"/>
        <v>0.81499999999999995</v>
      </c>
      <c r="F11" s="54"/>
      <c r="G11" s="54">
        <f>19/600-0.02</f>
        <v>1.1666666666666669E-2</v>
      </c>
      <c r="H11" s="54">
        <f t="shared" si="3"/>
        <v>0.75166666666666671</v>
      </c>
      <c r="I11" s="54"/>
      <c r="J11" s="54">
        <v>0.02</v>
      </c>
      <c r="K11" s="54">
        <f t="shared" si="4"/>
        <v>0.77</v>
      </c>
      <c r="L11" s="54"/>
      <c r="M11" s="54">
        <v>4.4999999999999998E-2</v>
      </c>
      <c r="N11" s="54">
        <f t="shared" si="5"/>
        <v>0.79500000000000004</v>
      </c>
    </row>
    <row r="12" spans="1:14">
      <c r="A12" s="54">
        <f t="shared" si="6"/>
        <v>3.3333333333333333E-2</v>
      </c>
      <c r="B12" s="54">
        <f t="shared" si="1"/>
        <v>0.81666666666666665</v>
      </c>
      <c r="C12" s="54"/>
      <c r="D12" s="54">
        <v>4.4999999999999998E-2</v>
      </c>
      <c r="E12" s="54">
        <f t="shared" si="2"/>
        <v>0.86</v>
      </c>
      <c r="F12" s="54"/>
      <c r="G12" s="54">
        <f>19/600-0.01</f>
        <v>2.1666666666666667E-2</v>
      </c>
      <c r="H12" s="54">
        <f t="shared" si="3"/>
        <v>0.77333333333333343</v>
      </c>
      <c r="I12" s="54"/>
      <c r="J12" s="54">
        <v>3.5000000000000003E-2</v>
      </c>
      <c r="K12" s="54">
        <f t="shared" si="4"/>
        <v>0.80500000000000005</v>
      </c>
      <c r="L12" s="54"/>
      <c r="M12" s="54">
        <v>3.5000000000000003E-2</v>
      </c>
      <c r="N12" s="54">
        <f t="shared" si="5"/>
        <v>0.83000000000000007</v>
      </c>
    </row>
    <row r="13" spans="1:14">
      <c r="A13" s="54">
        <f t="shared" si="6"/>
        <v>3.3333333333333333E-2</v>
      </c>
      <c r="B13" s="54">
        <f t="shared" si="1"/>
        <v>0.85</v>
      </c>
      <c r="C13" s="54"/>
      <c r="D13" s="54">
        <v>3.5000000000000003E-2</v>
      </c>
      <c r="E13" s="54">
        <f t="shared" si="2"/>
        <v>0.89500000000000002</v>
      </c>
      <c r="F13" s="54"/>
      <c r="G13" s="54">
        <f>19/600</f>
        <v>3.1666666666666669E-2</v>
      </c>
      <c r="H13" s="54">
        <f t="shared" si="3"/>
        <v>0.80500000000000005</v>
      </c>
      <c r="I13" s="54"/>
      <c r="J13" s="54">
        <v>4.4999999999999998E-2</v>
      </c>
      <c r="K13" s="54">
        <f t="shared" si="4"/>
        <v>0.85000000000000009</v>
      </c>
      <c r="L13" s="54"/>
      <c r="M13" s="54">
        <v>0.02</v>
      </c>
      <c r="N13" s="54">
        <f t="shared" si="5"/>
        <v>0.85000000000000009</v>
      </c>
    </row>
    <row r="14" spans="1:14">
      <c r="A14" s="54">
        <f t="shared" si="6"/>
        <v>3.3333333333333333E-2</v>
      </c>
      <c r="B14" s="54">
        <f t="shared" si="1"/>
        <v>0.8833333333333333</v>
      </c>
      <c r="C14" s="54"/>
      <c r="D14" s="54">
        <v>3.5000000000000003E-2</v>
      </c>
      <c r="E14" s="54">
        <f t="shared" si="2"/>
        <v>0.93</v>
      </c>
      <c r="F14" s="54"/>
      <c r="G14" s="54">
        <f>19/600</f>
        <v>3.1666666666666669E-2</v>
      </c>
      <c r="H14" s="54">
        <f t="shared" si="3"/>
        <v>0.83666666666666667</v>
      </c>
      <c r="I14" s="54"/>
      <c r="J14" s="54">
        <v>4.4999999999999998E-2</v>
      </c>
      <c r="K14" s="54">
        <f t="shared" si="4"/>
        <v>0.89500000000000013</v>
      </c>
      <c r="L14" s="54"/>
      <c r="M14" s="54">
        <v>0.02</v>
      </c>
      <c r="N14" s="54">
        <f t="shared" si="5"/>
        <v>0.87000000000000011</v>
      </c>
    </row>
    <row r="15" spans="1:14" ht="15.75" thickBot="1">
      <c r="A15" s="54">
        <f t="shared" si="6"/>
        <v>3.3333333333333333E-2</v>
      </c>
      <c r="B15" s="54">
        <f t="shared" si="1"/>
        <v>0.91666666666666663</v>
      </c>
      <c r="C15" s="54"/>
      <c r="D15" s="54">
        <v>2.5000000000000001E-2</v>
      </c>
      <c r="E15" s="54">
        <f t="shared" si="2"/>
        <v>0.95500000000000007</v>
      </c>
      <c r="F15" s="54"/>
      <c r="G15" s="54">
        <f>19/600+0.01</f>
        <v>4.1666666666666671E-2</v>
      </c>
      <c r="H15" s="54">
        <f t="shared" si="3"/>
        <v>0.8783333333333333</v>
      </c>
      <c r="I15" s="54"/>
      <c r="J15" s="54">
        <v>3.5000000000000003E-2</v>
      </c>
      <c r="K15" s="54">
        <f t="shared" si="4"/>
        <v>0.93000000000000016</v>
      </c>
      <c r="L15" s="54"/>
      <c r="M15" s="54">
        <v>3.5000000000000003E-2</v>
      </c>
      <c r="N15" s="54">
        <f t="shared" si="5"/>
        <v>0.90500000000000014</v>
      </c>
    </row>
    <row r="16" spans="1:14" ht="15.75" thickBot="1">
      <c r="A16" s="55">
        <f t="shared" si="6"/>
        <v>3.3333333333333333E-2</v>
      </c>
      <c r="B16" s="56">
        <f t="shared" si="1"/>
        <v>0.95</v>
      </c>
      <c r="C16" s="56"/>
      <c r="D16" s="56">
        <v>1.4999999999999999E-2</v>
      </c>
      <c r="E16" s="56">
        <f t="shared" si="2"/>
        <v>0.97000000000000008</v>
      </c>
      <c r="F16" s="56"/>
      <c r="G16" s="56">
        <f>19/600+0.02</f>
        <v>5.1666666666666666E-2</v>
      </c>
      <c r="H16" s="56">
        <f t="shared" si="3"/>
        <v>0.92999999999999994</v>
      </c>
      <c r="I16" s="56"/>
      <c r="J16" s="56">
        <v>0.02</v>
      </c>
      <c r="K16" s="56">
        <f t="shared" si="4"/>
        <v>0.95000000000000018</v>
      </c>
      <c r="L16" s="56"/>
      <c r="M16" s="56">
        <v>4.4999999999999998E-2</v>
      </c>
      <c r="N16" s="56">
        <f t="shared" si="5"/>
        <v>0.95000000000000018</v>
      </c>
    </row>
    <row r="17" spans="1:14">
      <c r="A17" s="57">
        <f>5/400</f>
        <v>1.2500000000000001E-2</v>
      </c>
      <c r="B17" s="57">
        <f t="shared" si="1"/>
        <v>0.96249999999999991</v>
      </c>
      <c r="C17" s="57"/>
      <c r="D17" s="57">
        <v>0.01</v>
      </c>
      <c r="E17" s="57">
        <f t="shared" si="2"/>
        <v>0.98000000000000009</v>
      </c>
      <c r="F17" s="57"/>
      <c r="G17" s="57">
        <v>0.01</v>
      </c>
      <c r="H17" s="57">
        <f t="shared" si="3"/>
        <v>0.94</v>
      </c>
      <c r="I17" s="57"/>
      <c r="J17" s="57">
        <v>5.0000000000000001E-3</v>
      </c>
      <c r="K17" s="57">
        <f t="shared" si="4"/>
        <v>0.95500000000000018</v>
      </c>
      <c r="L17" s="57"/>
      <c r="M17" s="57">
        <v>0.02</v>
      </c>
      <c r="N17" s="57">
        <f t="shared" si="5"/>
        <v>0.9700000000000002</v>
      </c>
    </row>
    <row r="18" spans="1:14">
      <c r="A18" s="54">
        <f>5/400</f>
        <v>1.2500000000000001E-2</v>
      </c>
      <c r="B18" s="54">
        <f t="shared" si="1"/>
        <v>0.97499999999999987</v>
      </c>
      <c r="C18" s="54"/>
      <c r="D18" s="54">
        <v>7.4999999999999997E-3</v>
      </c>
      <c r="E18" s="54">
        <f t="shared" si="2"/>
        <v>0.98750000000000004</v>
      </c>
      <c r="F18" s="54"/>
      <c r="G18" s="54">
        <v>1.7500000000000002E-2</v>
      </c>
      <c r="H18" s="54">
        <f t="shared" si="3"/>
        <v>0.95749999999999991</v>
      </c>
      <c r="I18" s="54"/>
      <c r="J18" s="54">
        <v>0.02</v>
      </c>
      <c r="K18" s="54">
        <f t="shared" si="4"/>
        <v>0.9750000000000002</v>
      </c>
      <c r="L18" s="54"/>
      <c r="M18" s="54">
        <v>5.0000000000000001E-3</v>
      </c>
      <c r="N18" s="54">
        <f t="shared" si="5"/>
        <v>0.9750000000000002</v>
      </c>
    </row>
    <row r="19" spans="1:14">
      <c r="A19" s="54">
        <f>5/400</f>
        <v>1.2500000000000001E-2</v>
      </c>
      <c r="B19" s="54">
        <f t="shared" si="1"/>
        <v>0.98749999999999982</v>
      </c>
      <c r="C19" s="54"/>
      <c r="D19" s="54">
        <v>7.4999999999999997E-3</v>
      </c>
      <c r="E19" s="54">
        <f t="shared" si="2"/>
        <v>0.995</v>
      </c>
      <c r="F19" s="54"/>
      <c r="G19" s="54">
        <v>1.7500000000000002E-2</v>
      </c>
      <c r="H19" s="54">
        <f t="shared" si="3"/>
        <v>0.97499999999999987</v>
      </c>
      <c r="I19" s="54"/>
      <c r="J19" s="54">
        <v>0.02</v>
      </c>
      <c r="K19" s="54">
        <f t="shared" si="4"/>
        <v>0.99500000000000022</v>
      </c>
      <c r="L19" s="54"/>
      <c r="M19" s="54">
        <v>5.0000000000000001E-3</v>
      </c>
      <c r="N19" s="54">
        <f t="shared" si="5"/>
        <v>0.9800000000000002</v>
      </c>
    </row>
    <row r="20" spans="1:14">
      <c r="A20" s="54">
        <f>5/400</f>
        <v>1.2500000000000001E-2</v>
      </c>
      <c r="B20" s="54">
        <f t="shared" si="1"/>
        <v>0.99999999999999978</v>
      </c>
      <c r="C20" s="54"/>
      <c r="D20" s="54">
        <v>5.0000000000000001E-3</v>
      </c>
      <c r="E20" s="54">
        <f t="shared" si="2"/>
        <v>1</v>
      </c>
      <c r="F20" s="54"/>
      <c r="G20" s="54">
        <v>2.5000000000000001E-2</v>
      </c>
      <c r="H20" s="54">
        <f t="shared" si="3"/>
        <v>0.99999999999999989</v>
      </c>
      <c r="I20" s="54"/>
      <c r="J20" s="54">
        <v>5.0000000000000001E-3</v>
      </c>
      <c r="K20" s="54">
        <f t="shared" si="4"/>
        <v>1.0000000000000002</v>
      </c>
      <c r="L20" s="54"/>
      <c r="M20" s="54">
        <v>0.02</v>
      </c>
      <c r="N20" s="54">
        <f t="shared" si="5"/>
        <v>1.0000000000000002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U33"/>
  <sheetViews>
    <sheetView tabSelected="1" workbookViewId="0">
      <pane xSplit="11" ySplit="2" topLeftCell="L3" activePane="bottomRight" state="frozen"/>
      <selection activeCell="A2" sqref="A2:A20"/>
      <selection pane="topRight" activeCell="A2" sqref="A2:A20"/>
      <selection pane="bottomLeft" activeCell="A2" sqref="A2:A20"/>
      <selection pane="bottomRight" activeCell="A2" sqref="A2:A20"/>
    </sheetView>
  </sheetViews>
  <sheetFormatPr defaultColWidth="13.7109375" defaultRowHeight="12.75"/>
  <cols>
    <col min="1" max="1" width="6.5703125" style="101" customWidth="1"/>
    <col min="2" max="2" width="12.7109375" style="102" customWidth="1"/>
    <col min="3" max="3" width="8.28515625" style="92" bestFit="1" customWidth="1"/>
    <col min="4" max="4" width="13.5703125" style="103" bestFit="1" customWidth="1"/>
    <col min="5" max="5" width="9.85546875" style="104" bestFit="1" customWidth="1"/>
    <col min="6" max="6" width="9.85546875" style="83" bestFit="1" customWidth="1"/>
    <col min="7" max="7" width="15.28515625" style="105" customWidth="1"/>
    <col min="8" max="8" width="10" style="83" customWidth="1"/>
    <col min="9" max="10" width="10.5703125" style="83" customWidth="1"/>
    <col min="11" max="12" width="9.140625" style="83" customWidth="1"/>
    <col min="13" max="13" width="11.28515625" style="83" bestFit="1" customWidth="1"/>
    <col min="14" max="14" width="12.7109375" style="83" bestFit="1" customWidth="1"/>
    <col min="15" max="15" width="8.7109375" style="83" customWidth="1"/>
    <col min="16" max="16" width="10.28515625" style="83" customWidth="1"/>
    <col min="17" max="17" width="13.7109375" style="83"/>
    <col min="18" max="18" width="18.85546875" style="83" customWidth="1"/>
    <col min="19" max="19" width="2.7109375" style="83" customWidth="1"/>
    <col min="20" max="20" width="11.5703125" style="83" customWidth="1"/>
    <col min="21" max="16384" width="13.7109375" style="83"/>
  </cols>
  <sheetData>
    <row r="1" spans="1:21" s="69" customFormat="1" ht="15">
      <c r="A1" s="58" t="s">
        <v>753</v>
      </c>
      <c r="B1" s="59" t="s">
        <v>888</v>
      </c>
      <c r="C1" s="59" t="s">
        <v>889</v>
      </c>
      <c r="D1" s="60" t="s">
        <v>890</v>
      </c>
      <c r="E1" s="61" t="s">
        <v>891</v>
      </c>
      <c r="F1" s="58" t="s">
        <v>892</v>
      </c>
      <c r="G1" s="62" t="s">
        <v>893</v>
      </c>
      <c r="H1" s="58" t="s">
        <v>894</v>
      </c>
      <c r="I1" s="58" t="s">
        <v>895</v>
      </c>
      <c r="J1" s="58" t="s">
        <v>896</v>
      </c>
      <c r="K1" s="63" t="s">
        <v>897</v>
      </c>
      <c r="L1" s="64" t="s">
        <v>898</v>
      </c>
      <c r="M1" s="58" t="s">
        <v>899</v>
      </c>
      <c r="N1" s="65" t="s">
        <v>900</v>
      </c>
      <c r="O1" s="66" t="s">
        <v>754</v>
      </c>
      <c r="P1" s="67" t="s">
        <v>901</v>
      </c>
      <c r="Q1" s="67" t="s">
        <v>902</v>
      </c>
      <c r="R1" s="68"/>
      <c r="S1" s="68"/>
    </row>
    <row r="2" spans="1:21" ht="15">
      <c r="A2" s="70">
        <v>1</v>
      </c>
      <c r="B2" s="71">
        <v>0</v>
      </c>
      <c r="C2" s="71">
        <f>B2</f>
        <v>0</v>
      </c>
      <c r="D2" s="60">
        <f>ROUND($Q$2*B2,1)</f>
        <v>0</v>
      </c>
      <c r="E2" s="72">
        <v>1</v>
      </c>
      <c r="F2" s="73">
        <f>IF(E2&lt;11, (E2/10), IF(E2=11, 0, 1.5))</f>
        <v>0.1</v>
      </c>
      <c r="G2" s="62">
        <f>TRUNC((D2+F2), 0)</f>
        <v>0</v>
      </c>
      <c r="H2" s="74">
        <f>ROUNDDOWN($Q$2*C2+$O$2,0.1)</f>
        <v>0</v>
      </c>
      <c r="I2" s="74">
        <f>H2</f>
        <v>0</v>
      </c>
      <c r="J2" s="74">
        <f>I2</f>
        <v>0</v>
      </c>
      <c r="K2" s="62">
        <f>ROUNDDOWN(AVERAGE(H2,I2),0.1)</f>
        <v>0</v>
      </c>
      <c r="L2" s="75"/>
      <c r="M2" s="76"/>
      <c r="N2" s="77"/>
      <c r="O2" s="78">
        <v>0</v>
      </c>
      <c r="P2" s="79">
        <v>15</v>
      </c>
      <c r="Q2" s="80">
        <f>P2-O2</f>
        <v>15</v>
      </c>
      <c r="R2" s="81"/>
      <c r="S2" s="82"/>
    </row>
    <row r="3" spans="1:21" ht="15">
      <c r="A3" s="58">
        <v>2</v>
      </c>
      <c r="B3" s="84">
        <v>8.3333333333333329E-2</v>
      </c>
      <c r="C3" s="85">
        <f t="shared" ref="C3:C31" si="0">(B3+C2)</f>
        <v>8.3333333333333329E-2</v>
      </c>
      <c r="D3" s="60">
        <f>ROUND($Q$2*B3,2)</f>
        <v>1.25</v>
      </c>
      <c r="E3" s="86">
        <v>11</v>
      </c>
      <c r="F3" s="73">
        <f>IF(E3&lt;11, (E3/10), IF(E3=11, 0, 1.5))</f>
        <v>0</v>
      </c>
      <c r="G3" s="62">
        <f>TRUNC((D3+F3), 0)</f>
        <v>1</v>
      </c>
      <c r="H3" s="87">
        <f>TRUNC(H2+D3,0)</f>
        <v>1</v>
      </c>
      <c r="I3" s="87">
        <f>TRUNC(I2+D3+1,0)</f>
        <v>2</v>
      </c>
      <c r="J3" s="87">
        <f>TRUNC(J2+D3+1.5,0)</f>
        <v>2</v>
      </c>
      <c r="K3" s="62">
        <f>TRUNC(AVERAGE(H3,I3))</f>
        <v>1</v>
      </c>
      <c r="L3" s="75">
        <f>H2+G3</f>
        <v>1</v>
      </c>
      <c r="M3" s="76">
        <f>IF(L3&lt;K3, 1, 0)</f>
        <v>0</v>
      </c>
      <c r="N3" s="77">
        <f>IF(L3&lt;K3, L3+1,L3)</f>
        <v>1</v>
      </c>
      <c r="O3" s="88"/>
      <c r="P3" s="88"/>
      <c r="Q3" s="88"/>
      <c r="R3" s="88"/>
      <c r="S3" s="88"/>
      <c r="U3" s="89">
        <v>1</v>
      </c>
    </row>
    <row r="4" spans="1:21" ht="15">
      <c r="A4" s="58">
        <v>3</v>
      </c>
      <c r="B4" s="84">
        <v>8.3333333333333329E-2</v>
      </c>
      <c r="C4" s="85">
        <f t="shared" si="0"/>
        <v>0.16666666666666666</v>
      </c>
      <c r="D4" s="60">
        <f t="shared" ref="D4:D17" si="1">ROUND($Q$2*B4,2)</f>
        <v>1.25</v>
      </c>
      <c r="E4" s="86">
        <v>11</v>
      </c>
      <c r="F4" s="73">
        <f t="shared" ref="F4:F31" si="2">IF(E4&lt;11, (E4/10), IF(E4=11, 0, 1.5))</f>
        <v>0</v>
      </c>
      <c r="G4" s="62">
        <f t="shared" ref="G4:G31" si="3">TRUNC((D4+F4), 0)</f>
        <v>1</v>
      </c>
      <c r="H4" s="87">
        <f>TRUNC(H3+D4,0)</f>
        <v>2</v>
      </c>
      <c r="I4" s="87">
        <f t="shared" ref="I4:I31" si="4">TRUNC(I3+D4+1,0)</f>
        <v>4</v>
      </c>
      <c r="J4" s="87">
        <f t="shared" ref="J4:J31" si="5">TRUNC(J3+D4+1.5,0)</f>
        <v>4</v>
      </c>
      <c r="K4" s="62">
        <f t="shared" ref="K4:K31" si="6">TRUNC(AVERAGE(H4,I4))</f>
        <v>3</v>
      </c>
      <c r="L4" s="75">
        <f>N3+G4</f>
        <v>2</v>
      </c>
      <c r="M4" s="76">
        <f t="shared" ref="M4:M31" si="7">IF(L4&lt;K4, 1, 0)</f>
        <v>1</v>
      </c>
      <c r="N4" s="77">
        <f t="shared" ref="N4:N21" si="8">IF(L4&lt;K4, L4+1,L4)</f>
        <v>3</v>
      </c>
      <c r="O4" s="88"/>
      <c r="P4" s="88"/>
      <c r="Q4" s="88"/>
      <c r="R4" s="88"/>
      <c r="S4" s="88"/>
      <c r="U4" s="89">
        <v>2</v>
      </c>
    </row>
    <row r="5" spans="1:21" ht="15">
      <c r="A5" s="58">
        <v>4</v>
      </c>
      <c r="B5" s="84">
        <v>8.3333333333333329E-2</v>
      </c>
      <c r="C5" s="85">
        <f t="shared" si="0"/>
        <v>0.25</v>
      </c>
      <c r="D5" s="60">
        <f t="shared" si="1"/>
        <v>1.25</v>
      </c>
      <c r="E5" s="86">
        <v>11</v>
      </c>
      <c r="F5" s="73">
        <f t="shared" si="2"/>
        <v>0</v>
      </c>
      <c r="G5" s="62">
        <f t="shared" si="3"/>
        <v>1</v>
      </c>
      <c r="H5" s="87">
        <f t="shared" ref="H5:H30" si="9">TRUNC(H4+D5,0)</f>
        <v>3</v>
      </c>
      <c r="I5" s="87">
        <f t="shared" si="4"/>
        <v>6</v>
      </c>
      <c r="J5" s="87">
        <f t="shared" si="5"/>
        <v>6</v>
      </c>
      <c r="K5" s="62">
        <f t="shared" si="6"/>
        <v>4</v>
      </c>
      <c r="L5" s="75">
        <f>N4+G5</f>
        <v>4</v>
      </c>
      <c r="M5" s="76">
        <f t="shared" si="7"/>
        <v>0</v>
      </c>
      <c r="N5" s="77">
        <f t="shared" si="8"/>
        <v>4</v>
      </c>
      <c r="O5" s="88"/>
      <c r="P5" s="88"/>
      <c r="Q5" s="88"/>
      <c r="R5" s="88"/>
      <c r="S5" s="88"/>
      <c r="U5" s="89">
        <v>3</v>
      </c>
    </row>
    <row r="6" spans="1:21" ht="15">
      <c r="A6" s="58">
        <v>5</v>
      </c>
      <c r="B6" s="84">
        <v>8.3333333333333329E-2</v>
      </c>
      <c r="C6" s="85">
        <f t="shared" si="0"/>
        <v>0.33333333333333331</v>
      </c>
      <c r="D6" s="60">
        <f t="shared" si="1"/>
        <v>1.25</v>
      </c>
      <c r="E6" s="86">
        <v>11</v>
      </c>
      <c r="F6" s="73">
        <f t="shared" si="2"/>
        <v>0</v>
      </c>
      <c r="G6" s="62">
        <f t="shared" si="3"/>
        <v>1</v>
      </c>
      <c r="H6" s="87">
        <f t="shared" si="9"/>
        <v>4</v>
      </c>
      <c r="I6" s="87">
        <f t="shared" si="4"/>
        <v>8</v>
      </c>
      <c r="J6" s="87">
        <f t="shared" si="5"/>
        <v>8</v>
      </c>
      <c r="K6" s="62">
        <f t="shared" si="6"/>
        <v>6</v>
      </c>
      <c r="L6" s="75">
        <f t="shared" ref="L6:L21" si="10">N5+G6</f>
        <v>5</v>
      </c>
      <c r="M6" s="76">
        <f t="shared" si="7"/>
        <v>1</v>
      </c>
      <c r="N6" s="77">
        <f t="shared" si="8"/>
        <v>6</v>
      </c>
      <c r="O6" s="88"/>
      <c r="P6" s="88"/>
      <c r="Q6" s="88"/>
      <c r="R6" s="88"/>
      <c r="S6" s="88"/>
      <c r="U6" s="89">
        <v>4</v>
      </c>
    </row>
    <row r="7" spans="1:21" ht="15">
      <c r="A7" s="58">
        <v>6</v>
      </c>
      <c r="B7" s="84">
        <v>8.3333333333333329E-2</v>
      </c>
      <c r="C7" s="85">
        <f t="shared" si="0"/>
        <v>0.41666666666666663</v>
      </c>
      <c r="D7" s="60">
        <f t="shared" si="1"/>
        <v>1.25</v>
      </c>
      <c r="E7" s="86">
        <v>11</v>
      </c>
      <c r="F7" s="73">
        <f t="shared" si="2"/>
        <v>0</v>
      </c>
      <c r="G7" s="62">
        <f t="shared" si="3"/>
        <v>1</v>
      </c>
      <c r="H7" s="87">
        <f t="shared" si="9"/>
        <v>5</v>
      </c>
      <c r="I7" s="87">
        <f t="shared" si="4"/>
        <v>10</v>
      </c>
      <c r="J7" s="87">
        <f t="shared" si="5"/>
        <v>10</v>
      </c>
      <c r="K7" s="62">
        <f t="shared" si="6"/>
        <v>7</v>
      </c>
      <c r="L7" s="75">
        <f t="shared" si="10"/>
        <v>7</v>
      </c>
      <c r="M7" s="76">
        <f t="shared" si="7"/>
        <v>0</v>
      </c>
      <c r="N7" s="77">
        <f t="shared" si="8"/>
        <v>7</v>
      </c>
      <c r="O7" s="88"/>
      <c r="P7" s="88"/>
      <c r="Q7" s="88"/>
      <c r="R7" s="88"/>
      <c r="S7" s="88"/>
      <c r="U7" s="89">
        <v>5</v>
      </c>
    </row>
    <row r="8" spans="1:21" ht="15">
      <c r="A8" s="58">
        <v>7</v>
      </c>
      <c r="B8" s="84">
        <v>8.3333333333333329E-2</v>
      </c>
      <c r="C8" s="85">
        <f t="shared" si="0"/>
        <v>0.49999999999999994</v>
      </c>
      <c r="D8" s="60">
        <f t="shared" si="1"/>
        <v>1.25</v>
      </c>
      <c r="E8" s="86">
        <v>11</v>
      </c>
      <c r="F8" s="73">
        <f t="shared" si="2"/>
        <v>0</v>
      </c>
      <c r="G8" s="62">
        <f t="shared" si="3"/>
        <v>1</v>
      </c>
      <c r="H8" s="87">
        <f t="shared" si="9"/>
        <v>6</v>
      </c>
      <c r="I8" s="87">
        <f t="shared" si="4"/>
        <v>12</v>
      </c>
      <c r="J8" s="87">
        <f t="shared" si="5"/>
        <v>12</v>
      </c>
      <c r="K8" s="62">
        <f t="shared" si="6"/>
        <v>9</v>
      </c>
      <c r="L8" s="75">
        <f t="shared" si="10"/>
        <v>8</v>
      </c>
      <c r="M8" s="76">
        <f t="shared" si="7"/>
        <v>1</v>
      </c>
      <c r="N8" s="77">
        <f t="shared" si="8"/>
        <v>9</v>
      </c>
      <c r="O8" s="88"/>
      <c r="P8" s="88"/>
      <c r="Q8" s="88"/>
      <c r="R8" s="88"/>
      <c r="S8" s="88"/>
      <c r="U8" s="89">
        <v>6</v>
      </c>
    </row>
    <row r="9" spans="1:21" ht="15">
      <c r="A9" s="58">
        <v>8</v>
      </c>
      <c r="B9" s="84">
        <v>8.3333333333333329E-2</v>
      </c>
      <c r="C9" s="85">
        <f t="shared" si="0"/>
        <v>0.58333333333333326</v>
      </c>
      <c r="D9" s="60">
        <f t="shared" si="1"/>
        <v>1.25</v>
      </c>
      <c r="E9" s="86">
        <v>11</v>
      </c>
      <c r="F9" s="73">
        <f t="shared" si="2"/>
        <v>0</v>
      </c>
      <c r="G9" s="62">
        <f t="shared" si="3"/>
        <v>1</v>
      </c>
      <c r="H9" s="87">
        <f t="shared" si="9"/>
        <v>7</v>
      </c>
      <c r="I9" s="87">
        <f t="shared" si="4"/>
        <v>14</v>
      </c>
      <c r="J9" s="87">
        <f t="shared" si="5"/>
        <v>14</v>
      </c>
      <c r="K9" s="62">
        <f t="shared" si="6"/>
        <v>10</v>
      </c>
      <c r="L9" s="75">
        <f t="shared" si="10"/>
        <v>10</v>
      </c>
      <c r="M9" s="76">
        <f t="shared" si="7"/>
        <v>0</v>
      </c>
      <c r="N9" s="77">
        <f t="shared" si="8"/>
        <v>10</v>
      </c>
      <c r="O9" s="88"/>
      <c r="P9" s="88"/>
      <c r="Q9" s="88"/>
      <c r="R9" s="88"/>
      <c r="S9" s="88"/>
      <c r="U9" s="89">
        <v>7</v>
      </c>
    </row>
    <row r="10" spans="1:21" ht="15">
      <c r="A10" s="58">
        <v>9</v>
      </c>
      <c r="B10" s="84">
        <v>8.3333333333333329E-2</v>
      </c>
      <c r="C10" s="85">
        <f t="shared" si="0"/>
        <v>0.66666666666666663</v>
      </c>
      <c r="D10" s="60">
        <f t="shared" si="1"/>
        <v>1.25</v>
      </c>
      <c r="E10" s="86">
        <v>11</v>
      </c>
      <c r="F10" s="73">
        <f t="shared" si="2"/>
        <v>0</v>
      </c>
      <c r="G10" s="62">
        <f t="shared" si="3"/>
        <v>1</v>
      </c>
      <c r="H10" s="87">
        <f t="shared" si="9"/>
        <v>8</v>
      </c>
      <c r="I10" s="87">
        <f t="shared" si="4"/>
        <v>16</v>
      </c>
      <c r="J10" s="87">
        <f t="shared" si="5"/>
        <v>16</v>
      </c>
      <c r="K10" s="62">
        <f t="shared" si="6"/>
        <v>12</v>
      </c>
      <c r="L10" s="75">
        <f t="shared" si="10"/>
        <v>11</v>
      </c>
      <c r="M10" s="76">
        <f t="shared" si="7"/>
        <v>1</v>
      </c>
      <c r="N10" s="77">
        <f t="shared" si="8"/>
        <v>12</v>
      </c>
      <c r="O10" s="88"/>
      <c r="P10" s="88"/>
      <c r="Q10" s="88"/>
      <c r="R10" s="88"/>
      <c r="S10" s="88"/>
      <c r="U10" s="89">
        <v>8</v>
      </c>
    </row>
    <row r="11" spans="1:21" ht="15">
      <c r="A11" s="90">
        <v>10</v>
      </c>
      <c r="B11" s="84">
        <v>8.3333333333333329E-2</v>
      </c>
      <c r="C11" s="85">
        <f t="shared" si="0"/>
        <v>0.75</v>
      </c>
      <c r="D11" s="60">
        <f t="shared" si="1"/>
        <v>1.25</v>
      </c>
      <c r="E11" s="86">
        <v>11</v>
      </c>
      <c r="F11" s="73">
        <f t="shared" si="2"/>
        <v>0</v>
      </c>
      <c r="G11" s="62">
        <f t="shared" si="3"/>
        <v>1</v>
      </c>
      <c r="H11" s="87">
        <f t="shared" si="9"/>
        <v>9</v>
      </c>
      <c r="I11" s="87">
        <f t="shared" si="4"/>
        <v>18</v>
      </c>
      <c r="J11" s="87">
        <f t="shared" si="5"/>
        <v>18</v>
      </c>
      <c r="K11" s="62">
        <f t="shared" si="6"/>
        <v>13</v>
      </c>
      <c r="L11" s="75">
        <f t="shared" si="10"/>
        <v>13</v>
      </c>
      <c r="M11" s="76">
        <f>IF(L11&lt;K11, 1, 0)</f>
        <v>0</v>
      </c>
      <c r="N11" s="77">
        <f t="shared" si="8"/>
        <v>13</v>
      </c>
      <c r="O11" s="88"/>
      <c r="P11" s="88"/>
      <c r="Q11" s="88"/>
      <c r="R11" s="88"/>
      <c r="S11" s="88"/>
      <c r="U11" s="89">
        <v>9</v>
      </c>
    </row>
    <row r="12" spans="1:21" ht="15">
      <c r="A12" s="90">
        <v>11</v>
      </c>
      <c r="B12" s="84">
        <v>3.3333333333333333E-2</v>
      </c>
      <c r="C12" s="85">
        <f t="shared" si="0"/>
        <v>0.78333333333333333</v>
      </c>
      <c r="D12" s="60">
        <f t="shared" si="1"/>
        <v>0.5</v>
      </c>
      <c r="E12" s="86">
        <v>11</v>
      </c>
      <c r="F12" s="73">
        <f t="shared" si="2"/>
        <v>0</v>
      </c>
      <c r="G12" s="62">
        <f t="shared" si="3"/>
        <v>0</v>
      </c>
      <c r="H12" s="87">
        <f t="shared" si="9"/>
        <v>9</v>
      </c>
      <c r="I12" s="87">
        <f t="shared" si="4"/>
        <v>19</v>
      </c>
      <c r="J12" s="87">
        <f t="shared" si="5"/>
        <v>20</v>
      </c>
      <c r="K12" s="62">
        <f t="shared" si="6"/>
        <v>14</v>
      </c>
      <c r="L12" s="75">
        <f t="shared" si="10"/>
        <v>13</v>
      </c>
      <c r="M12" s="76">
        <f t="shared" si="7"/>
        <v>1</v>
      </c>
      <c r="N12" s="77">
        <f t="shared" si="8"/>
        <v>14</v>
      </c>
      <c r="O12" s="88"/>
      <c r="P12" s="88"/>
      <c r="Q12" s="88" t="s">
        <v>903</v>
      </c>
      <c r="R12" s="88"/>
      <c r="S12" s="88"/>
      <c r="U12" s="89">
        <v>10</v>
      </c>
    </row>
    <row r="13" spans="1:21" ht="15">
      <c r="A13" s="90">
        <v>12</v>
      </c>
      <c r="B13" s="84">
        <v>3.3333333333333333E-2</v>
      </c>
      <c r="C13" s="85">
        <f t="shared" si="0"/>
        <v>0.81666666666666665</v>
      </c>
      <c r="D13" s="60">
        <f t="shared" si="1"/>
        <v>0.5</v>
      </c>
      <c r="E13" s="86">
        <v>11</v>
      </c>
      <c r="F13" s="73">
        <f t="shared" si="2"/>
        <v>0</v>
      </c>
      <c r="G13" s="62">
        <f t="shared" si="3"/>
        <v>0</v>
      </c>
      <c r="H13" s="87">
        <f t="shared" si="9"/>
        <v>9</v>
      </c>
      <c r="I13" s="87">
        <f t="shared" si="4"/>
        <v>20</v>
      </c>
      <c r="J13" s="87">
        <f t="shared" si="5"/>
        <v>22</v>
      </c>
      <c r="K13" s="62">
        <f t="shared" si="6"/>
        <v>14</v>
      </c>
      <c r="L13" s="75">
        <f t="shared" si="10"/>
        <v>14</v>
      </c>
      <c r="M13" s="76">
        <f t="shared" si="7"/>
        <v>0</v>
      </c>
      <c r="N13" s="77">
        <f t="shared" si="8"/>
        <v>14</v>
      </c>
      <c r="O13" s="88"/>
      <c r="P13" s="88"/>
      <c r="Q13" s="88"/>
      <c r="R13" s="88"/>
      <c r="S13" s="88"/>
      <c r="U13" s="89">
        <v>11</v>
      </c>
    </row>
    <row r="14" spans="1:21" ht="15">
      <c r="A14" s="90">
        <v>13</v>
      </c>
      <c r="B14" s="84">
        <v>3.3333333333333333E-2</v>
      </c>
      <c r="C14" s="85">
        <f t="shared" si="0"/>
        <v>0.85</v>
      </c>
      <c r="D14" s="60">
        <f t="shared" si="1"/>
        <v>0.5</v>
      </c>
      <c r="E14" s="86">
        <v>11</v>
      </c>
      <c r="F14" s="73">
        <f t="shared" si="2"/>
        <v>0</v>
      </c>
      <c r="G14" s="62">
        <f t="shared" si="3"/>
        <v>0</v>
      </c>
      <c r="H14" s="87">
        <f t="shared" si="9"/>
        <v>9</v>
      </c>
      <c r="I14" s="87">
        <f t="shared" si="4"/>
        <v>21</v>
      </c>
      <c r="J14" s="87">
        <f t="shared" si="5"/>
        <v>24</v>
      </c>
      <c r="K14" s="62">
        <f t="shared" si="6"/>
        <v>15</v>
      </c>
      <c r="L14" s="75">
        <f t="shared" si="10"/>
        <v>14</v>
      </c>
      <c r="M14" s="76">
        <f t="shared" si="7"/>
        <v>1</v>
      </c>
      <c r="N14" s="77">
        <f t="shared" si="8"/>
        <v>15</v>
      </c>
      <c r="O14" s="88"/>
      <c r="P14" s="88"/>
      <c r="Q14" s="88"/>
      <c r="R14" s="88"/>
      <c r="S14" s="88"/>
      <c r="U14" s="89">
        <v>12</v>
      </c>
    </row>
    <row r="15" spans="1:21" ht="15">
      <c r="A15" s="90">
        <v>14</v>
      </c>
      <c r="B15" s="84">
        <v>3.3333333333333333E-2</v>
      </c>
      <c r="C15" s="85">
        <f t="shared" si="0"/>
        <v>0.8833333333333333</v>
      </c>
      <c r="D15" s="60">
        <f t="shared" si="1"/>
        <v>0.5</v>
      </c>
      <c r="E15" s="86">
        <v>11</v>
      </c>
      <c r="F15" s="73">
        <f t="shared" si="2"/>
        <v>0</v>
      </c>
      <c r="G15" s="62">
        <f t="shared" si="3"/>
        <v>0</v>
      </c>
      <c r="H15" s="87">
        <f t="shared" si="9"/>
        <v>9</v>
      </c>
      <c r="I15" s="87">
        <f t="shared" si="4"/>
        <v>22</v>
      </c>
      <c r="J15" s="87">
        <f t="shared" si="5"/>
        <v>26</v>
      </c>
      <c r="K15" s="62">
        <f t="shared" si="6"/>
        <v>15</v>
      </c>
      <c r="L15" s="75">
        <f t="shared" si="10"/>
        <v>15</v>
      </c>
      <c r="M15" s="76">
        <f t="shared" si="7"/>
        <v>0</v>
      </c>
      <c r="N15" s="77">
        <f t="shared" si="8"/>
        <v>15</v>
      </c>
      <c r="O15" s="88"/>
      <c r="P15" s="88"/>
      <c r="Q15" s="88"/>
      <c r="R15" s="88"/>
      <c r="S15" s="88"/>
    </row>
    <row r="16" spans="1:21" ht="15">
      <c r="A16" s="90">
        <v>15</v>
      </c>
      <c r="B16" s="84">
        <v>3.3333333333333333E-2</v>
      </c>
      <c r="C16" s="85">
        <f t="shared" si="0"/>
        <v>0.91666666666666663</v>
      </c>
      <c r="D16" s="60">
        <f t="shared" si="1"/>
        <v>0.5</v>
      </c>
      <c r="E16" s="86">
        <v>11</v>
      </c>
      <c r="F16" s="73">
        <f t="shared" si="2"/>
        <v>0</v>
      </c>
      <c r="G16" s="62">
        <f t="shared" si="3"/>
        <v>0</v>
      </c>
      <c r="H16" s="87">
        <f t="shared" si="9"/>
        <v>9</v>
      </c>
      <c r="I16" s="87">
        <f t="shared" si="4"/>
        <v>23</v>
      </c>
      <c r="J16" s="87">
        <f t="shared" si="5"/>
        <v>28</v>
      </c>
      <c r="K16" s="62">
        <f t="shared" si="6"/>
        <v>16</v>
      </c>
      <c r="L16" s="75">
        <f t="shared" si="10"/>
        <v>15</v>
      </c>
      <c r="M16" s="76">
        <f t="shared" si="7"/>
        <v>1</v>
      </c>
      <c r="N16" s="77">
        <f t="shared" si="8"/>
        <v>16</v>
      </c>
      <c r="O16" s="88"/>
      <c r="P16" s="88"/>
      <c r="Q16" s="88"/>
      <c r="R16" s="88"/>
      <c r="S16" s="88"/>
    </row>
    <row r="17" spans="1:19" ht="15">
      <c r="A17" s="90">
        <v>16</v>
      </c>
      <c r="B17" s="84">
        <v>3.3333333333333333E-2</v>
      </c>
      <c r="C17" s="85">
        <f t="shared" si="0"/>
        <v>0.95</v>
      </c>
      <c r="D17" s="60">
        <f t="shared" si="1"/>
        <v>0.5</v>
      </c>
      <c r="E17" s="86">
        <v>11</v>
      </c>
      <c r="F17" s="73">
        <f t="shared" si="2"/>
        <v>0</v>
      </c>
      <c r="G17" s="62">
        <f t="shared" si="3"/>
        <v>0</v>
      </c>
      <c r="H17" s="87">
        <f t="shared" si="9"/>
        <v>9</v>
      </c>
      <c r="I17" s="87">
        <f t="shared" si="4"/>
        <v>24</v>
      </c>
      <c r="J17" s="87">
        <f t="shared" si="5"/>
        <v>30</v>
      </c>
      <c r="K17" s="62">
        <f t="shared" si="6"/>
        <v>16</v>
      </c>
      <c r="L17" s="75">
        <f t="shared" si="10"/>
        <v>16</v>
      </c>
      <c r="M17" s="76">
        <f t="shared" si="7"/>
        <v>0</v>
      </c>
      <c r="N17" s="77">
        <f t="shared" si="8"/>
        <v>16</v>
      </c>
      <c r="O17" s="88"/>
      <c r="P17" s="88"/>
      <c r="Q17" s="88"/>
      <c r="R17" s="88"/>
      <c r="S17" s="88"/>
    </row>
    <row r="18" spans="1:19" ht="15">
      <c r="A18" s="70">
        <v>17</v>
      </c>
      <c r="B18" s="84">
        <v>1.2500000000000001E-2</v>
      </c>
      <c r="C18" s="85">
        <f t="shared" si="0"/>
        <v>0.96249999999999991</v>
      </c>
      <c r="D18" s="60">
        <f>ROUND($Q$2*B18,2)</f>
        <v>0.19</v>
      </c>
      <c r="E18" s="86">
        <v>11</v>
      </c>
      <c r="F18" s="73">
        <f t="shared" si="2"/>
        <v>0</v>
      </c>
      <c r="G18" s="62">
        <f t="shared" si="3"/>
        <v>0</v>
      </c>
      <c r="H18" s="87">
        <f t="shared" si="9"/>
        <v>9</v>
      </c>
      <c r="I18" s="87">
        <f t="shared" si="4"/>
        <v>25</v>
      </c>
      <c r="J18" s="87">
        <f t="shared" si="5"/>
        <v>31</v>
      </c>
      <c r="K18" s="62">
        <f t="shared" si="6"/>
        <v>17</v>
      </c>
      <c r="L18" s="75">
        <f t="shared" si="10"/>
        <v>16</v>
      </c>
      <c r="M18" s="76">
        <f t="shared" si="7"/>
        <v>1</v>
      </c>
      <c r="N18" s="77">
        <f t="shared" si="8"/>
        <v>17</v>
      </c>
      <c r="O18" s="88"/>
      <c r="P18" s="88"/>
      <c r="Q18" s="88"/>
      <c r="R18" s="88"/>
      <c r="S18" s="88"/>
    </row>
    <row r="19" spans="1:19" ht="15">
      <c r="A19" s="70">
        <v>18</v>
      </c>
      <c r="B19" s="84">
        <v>1.2500000000000001E-2</v>
      </c>
      <c r="C19" s="85">
        <f t="shared" si="0"/>
        <v>0.97499999999999987</v>
      </c>
      <c r="D19" s="60">
        <f>ROUND($Q$2*B19,2)</f>
        <v>0.19</v>
      </c>
      <c r="E19" s="86">
        <v>11</v>
      </c>
      <c r="F19" s="73">
        <f t="shared" si="2"/>
        <v>0</v>
      </c>
      <c r="G19" s="62">
        <f t="shared" si="3"/>
        <v>0</v>
      </c>
      <c r="H19" s="87">
        <f t="shared" si="9"/>
        <v>9</v>
      </c>
      <c r="I19" s="87">
        <f t="shared" si="4"/>
        <v>26</v>
      </c>
      <c r="J19" s="87">
        <f t="shared" si="5"/>
        <v>32</v>
      </c>
      <c r="K19" s="62">
        <f t="shared" si="6"/>
        <v>17</v>
      </c>
      <c r="L19" s="75">
        <f t="shared" si="10"/>
        <v>17</v>
      </c>
      <c r="M19" s="76">
        <f t="shared" si="7"/>
        <v>0</v>
      </c>
      <c r="N19" s="77">
        <f t="shared" si="8"/>
        <v>17</v>
      </c>
      <c r="O19" s="88"/>
      <c r="P19" s="88"/>
      <c r="Q19" s="88"/>
      <c r="R19" s="88"/>
      <c r="S19" s="88"/>
    </row>
    <row r="20" spans="1:19" ht="15">
      <c r="A20" s="70">
        <v>19</v>
      </c>
      <c r="B20" s="84">
        <v>1.2500000000000001E-2</v>
      </c>
      <c r="C20" s="85">
        <f t="shared" si="0"/>
        <v>0.98749999999999982</v>
      </c>
      <c r="D20" s="60">
        <f>ROUND($Q$2*B20,2)</f>
        <v>0.19</v>
      </c>
      <c r="E20" s="86">
        <v>11</v>
      </c>
      <c r="F20" s="73">
        <f t="shared" si="2"/>
        <v>0</v>
      </c>
      <c r="G20" s="62">
        <f t="shared" si="3"/>
        <v>0</v>
      </c>
      <c r="H20" s="87">
        <f t="shared" si="9"/>
        <v>9</v>
      </c>
      <c r="I20" s="87">
        <f t="shared" si="4"/>
        <v>27</v>
      </c>
      <c r="J20" s="87">
        <f t="shared" si="5"/>
        <v>33</v>
      </c>
      <c r="K20" s="62">
        <f t="shared" si="6"/>
        <v>18</v>
      </c>
      <c r="L20" s="75">
        <f t="shared" si="10"/>
        <v>17</v>
      </c>
      <c r="M20" s="76">
        <f t="shared" si="7"/>
        <v>1</v>
      </c>
      <c r="N20" s="77">
        <f t="shared" si="8"/>
        <v>18</v>
      </c>
      <c r="O20" s="88"/>
      <c r="P20" s="88"/>
      <c r="Q20" s="88"/>
      <c r="R20" s="88"/>
      <c r="S20" s="88"/>
    </row>
    <row r="21" spans="1:19" ht="15">
      <c r="A21" s="70">
        <v>20</v>
      </c>
      <c r="B21" s="84">
        <v>1.2500000000000001E-2</v>
      </c>
      <c r="C21" s="85">
        <f t="shared" si="0"/>
        <v>0.99999999999999978</v>
      </c>
      <c r="D21" s="60">
        <f>ROUND($Q$2*B21,2)</f>
        <v>0.19</v>
      </c>
      <c r="E21" s="86">
        <v>11</v>
      </c>
      <c r="F21" s="73">
        <f>IF(E21&lt;11, (E21/10), IF(E21=11, 0, 1.5))</f>
        <v>0</v>
      </c>
      <c r="G21" s="62">
        <f>TRUNC((D21+F21), 0)</f>
        <v>0</v>
      </c>
      <c r="H21" s="87">
        <f>TRUNC(H20+D21,0)</f>
        <v>9</v>
      </c>
      <c r="I21" s="87">
        <f>TRUNC(I20+D21+1,0)</f>
        <v>28</v>
      </c>
      <c r="J21" s="87">
        <f t="shared" si="5"/>
        <v>34</v>
      </c>
      <c r="K21" s="62">
        <f t="shared" si="6"/>
        <v>18</v>
      </c>
      <c r="L21" s="75">
        <f t="shared" si="10"/>
        <v>18</v>
      </c>
      <c r="M21" s="76">
        <f t="shared" si="7"/>
        <v>0</v>
      </c>
      <c r="N21" s="77">
        <f t="shared" si="8"/>
        <v>18</v>
      </c>
      <c r="O21" s="88"/>
      <c r="P21" s="88"/>
      <c r="Q21" s="88"/>
      <c r="R21" s="88"/>
      <c r="S21" s="88"/>
    </row>
    <row r="22" spans="1:19" ht="15" hidden="1">
      <c r="A22" s="70">
        <v>21</v>
      </c>
      <c r="B22" s="84">
        <v>3.5200000000000002E-2</v>
      </c>
      <c r="C22" s="85">
        <f t="shared" si="0"/>
        <v>1.0351999999999997</v>
      </c>
      <c r="D22" s="60">
        <f t="shared" ref="D22:D30" si="11">ROUND($Q$2*B23,2)</f>
        <v>0.53</v>
      </c>
      <c r="E22" s="86">
        <v>11</v>
      </c>
      <c r="F22" s="73">
        <f t="shared" si="2"/>
        <v>0</v>
      </c>
      <c r="G22" s="62">
        <f t="shared" si="3"/>
        <v>0</v>
      </c>
      <c r="H22" s="87">
        <f t="shared" si="9"/>
        <v>9</v>
      </c>
      <c r="I22" s="87">
        <f t="shared" si="4"/>
        <v>29</v>
      </c>
      <c r="J22" s="87">
        <f t="shared" si="5"/>
        <v>36</v>
      </c>
      <c r="K22" s="62">
        <f t="shared" si="6"/>
        <v>19</v>
      </c>
      <c r="L22" s="75">
        <f t="shared" ref="L22:L31" si="12">IF(M21=1, L21+G22+1, L21+G22)</f>
        <v>18</v>
      </c>
      <c r="M22" s="76">
        <f t="shared" si="7"/>
        <v>1</v>
      </c>
      <c r="N22" s="77">
        <f>L22+SUM($M$3:M22)</f>
        <v>28</v>
      </c>
      <c r="O22" s="88"/>
      <c r="P22" s="88"/>
      <c r="Q22" s="88"/>
      <c r="R22" s="88"/>
      <c r="S22" s="88"/>
    </row>
    <row r="23" spans="1:19" ht="15" hidden="1">
      <c r="A23" s="58">
        <v>22</v>
      </c>
      <c r="B23" s="84">
        <v>3.5200000000000002E-2</v>
      </c>
      <c r="C23" s="85">
        <f t="shared" si="0"/>
        <v>1.0703999999999996</v>
      </c>
      <c r="D23" s="60">
        <f t="shared" si="11"/>
        <v>0.53</v>
      </c>
      <c r="E23" s="86">
        <v>11</v>
      </c>
      <c r="F23" s="73">
        <f t="shared" si="2"/>
        <v>0</v>
      </c>
      <c r="G23" s="62">
        <f t="shared" si="3"/>
        <v>0</v>
      </c>
      <c r="H23" s="87">
        <f t="shared" si="9"/>
        <v>9</v>
      </c>
      <c r="I23" s="87">
        <f t="shared" si="4"/>
        <v>30</v>
      </c>
      <c r="J23" s="87">
        <f t="shared" si="5"/>
        <v>38</v>
      </c>
      <c r="K23" s="62">
        <f t="shared" si="6"/>
        <v>19</v>
      </c>
      <c r="L23" s="75">
        <f t="shared" si="12"/>
        <v>19</v>
      </c>
      <c r="M23" s="76">
        <f t="shared" si="7"/>
        <v>0</v>
      </c>
      <c r="N23" s="77">
        <f>L23+SUM($M$3:M23)</f>
        <v>29</v>
      </c>
      <c r="O23" s="88"/>
      <c r="P23" s="88"/>
      <c r="Q23" s="88"/>
      <c r="R23" s="88"/>
      <c r="S23" s="88"/>
    </row>
    <row r="24" spans="1:19" ht="15" hidden="1">
      <c r="A24" s="58">
        <v>23</v>
      </c>
      <c r="B24" s="84">
        <v>3.5200000000000002E-2</v>
      </c>
      <c r="C24" s="85">
        <f t="shared" si="0"/>
        <v>1.1055999999999995</v>
      </c>
      <c r="D24" s="60">
        <f t="shared" si="11"/>
        <v>0.53</v>
      </c>
      <c r="E24" s="86">
        <v>11</v>
      </c>
      <c r="F24" s="73">
        <f t="shared" si="2"/>
        <v>0</v>
      </c>
      <c r="G24" s="62">
        <f t="shared" si="3"/>
        <v>0</v>
      </c>
      <c r="H24" s="87">
        <f t="shared" si="9"/>
        <v>9</v>
      </c>
      <c r="I24" s="87">
        <f t="shared" si="4"/>
        <v>31</v>
      </c>
      <c r="J24" s="87">
        <f t="shared" si="5"/>
        <v>40</v>
      </c>
      <c r="K24" s="62">
        <f t="shared" si="6"/>
        <v>20</v>
      </c>
      <c r="L24" s="75">
        <f t="shared" si="12"/>
        <v>19</v>
      </c>
      <c r="M24" s="76">
        <f t="shared" si="7"/>
        <v>1</v>
      </c>
      <c r="N24" s="77">
        <f>L24+SUM($M$3:M24)</f>
        <v>30</v>
      </c>
      <c r="O24" s="88"/>
      <c r="P24" s="88"/>
      <c r="Q24" s="88"/>
      <c r="R24" s="88"/>
      <c r="S24" s="88"/>
    </row>
    <row r="25" spans="1:19" ht="15" hidden="1">
      <c r="A25" s="58">
        <v>24</v>
      </c>
      <c r="B25" s="84">
        <v>3.5200000000000002E-2</v>
      </c>
      <c r="C25" s="85">
        <f t="shared" si="0"/>
        <v>1.1407999999999994</v>
      </c>
      <c r="D25" s="60">
        <f t="shared" si="11"/>
        <v>0.47</v>
      </c>
      <c r="E25" s="86">
        <v>11</v>
      </c>
      <c r="F25" s="73">
        <f t="shared" si="2"/>
        <v>0</v>
      </c>
      <c r="G25" s="62">
        <f t="shared" si="3"/>
        <v>0</v>
      </c>
      <c r="H25" s="87">
        <f t="shared" si="9"/>
        <v>9</v>
      </c>
      <c r="I25" s="87">
        <f t="shared" si="4"/>
        <v>32</v>
      </c>
      <c r="J25" s="87">
        <f t="shared" si="5"/>
        <v>41</v>
      </c>
      <c r="K25" s="62">
        <f t="shared" si="6"/>
        <v>20</v>
      </c>
      <c r="L25" s="75">
        <f t="shared" si="12"/>
        <v>20</v>
      </c>
      <c r="M25" s="76">
        <f t="shared" si="7"/>
        <v>0</v>
      </c>
      <c r="N25" s="77">
        <f>L25+SUM($M$3:M25)</f>
        <v>31</v>
      </c>
      <c r="O25" s="88"/>
      <c r="P25" s="88"/>
      <c r="Q25" s="88"/>
      <c r="R25" s="88"/>
      <c r="S25" s="88"/>
    </row>
    <row r="26" spans="1:19" ht="15" hidden="1">
      <c r="A26" s="58">
        <v>25</v>
      </c>
      <c r="B26" s="84">
        <v>3.1300000000000001E-2</v>
      </c>
      <c r="C26" s="85">
        <f t="shared" si="0"/>
        <v>1.1720999999999995</v>
      </c>
      <c r="D26" s="60">
        <f t="shared" si="11"/>
        <v>0.53</v>
      </c>
      <c r="E26" s="86">
        <v>11</v>
      </c>
      <c r="F26" s="73">
        <f t="shared" si="2"/>
        <v>0</v>
      </c>
      <c r="G26" s="62">
        <f t="shared" si="3"/>
        <v>0</v>
      </c>
      <c r="H26" s="87">
        <f t="shared" si="9"/>
        <v>9</v>
      </c>
      <c r="I26" s="87">
        <f t="shared" si="4"/>
        <v>33</v>
      </c>
      <c r="J26" s="87">
        <f t="shared" si="5"/>
        <v>43</v>
      </c>
      <c r="K26" s="62">
        <f t="shared" si="6"/>
        <v>21</v>
      </c>
      <c r="L26" s="75">
        <f t="shared" si="12"/>
        <v>20</v>
      </c>
      <c r="M26" s="76">
        <f t="shared" si="7"/>
        <v>1</v>
      </c>
      <c r="N26" s="77">
        <f>L26+SUM($M$3:M26)</f>
        <v>32</v>
      </c>
      <c r="O26" s="88"/>
      <c r="P26" s="88"/>
      <c r="Q26" s="88"/>
      <c r="R26" s="88"/>
      <c r="S26" s="88"/>
    </row>
    <row r="27" spans="1:19" ht="15" hidden="1">
      <c r="A27" s="58">
        <v>26</v>
      </c>
      <c r="B27" s="84">
        <v>3.5200000000000002E-2</v>
      </c>
      <c r="C27" s="85">
        <f t="shared" si="0"/>
        <v>1.2072999999999994</v>
      </c>
      <c r="D27" s="60">
        <f t="shared" si="11"/>
        <v>0.53</v>
      </c>
      <c r="E27" s="86">
        <v>11</v>
      </c>
      <c r="F27" s="73">
        <f t="shared" si="2"/>
        <v>0</v>
      </c>
      <c r="G27" s="62">
        <f t="shared" si="3"/>
        <v>0</v>
      </c>
      <c r="H27" s="87">
        <f t="shared" si="9"/>
        <v>9</v>
      </c>
      <c r="I27" s="87">
        <f t="shared" si="4"/>
        <v>34</v>
      </c>
      <c r="J27" s="87">
        <f t="shared" si="5"/>
        <v>45</v>
      </c>
      <c r="K27" s="62">
        <f t="shared" si="6"/>
        <v>21</v>
      </c>
      <c r="L27" s="75">
        <f t="shared" si="12"/>
        <v>21</v>
      </c>
      <c r="M27" s="76">
        <f t="shared" si="7"/>
        <v>0</v>
      </c>
      <c r="N27" s="77">
        <f>L27+SUM($M$3:M27)</f>
        <v>33</v>
      </c>
      <c r="O27" s="88"/>
      <c r="P27" s="88"/>
      <c r="Q27" s="88"/>
      <c r="R27" s="88"/>
      <c r="S27" s="88"/>
    </row>
    <row r="28" spans="1:19" ht="15" hidden="1">
      <c r="A28" s="58">
        <v>27</v>
      </c>
      <c r="B28" s="84">
        <v>3.5200000000000002E-2</v>
      </c>
      <c r="C28" s="85">
        <f t="shared" si="0"/>
        <v>1.2424999999999993</v>
      </c>
      <c r="D28" s="60">
        <f t="shared" si="11"/>
        <v>0.53</v>
      </c>
      <c r="E28" s="86">
        <v>11</v>
      </c>
      <c r="F28" s="73">
        <f t="shared" si="2"/>
        <v>0</v>
      </c>
      <c r="G28" s="62">
        <f t="shared" si="3"/>
        <v>0</v>
      </c>
      <c r="H28" s="87">
        <f t="shared" si="9"/>
        <v>9</v>
      </c>
      <c r="I28" s="87">
        <f t="shared" si="4"/>
        <v>35</v>
      </c>
      <c r="J28" s="87">
        <f t="shared" si="5"/>
        <v>47</v>
      </c>
      <c r="K28" s="62">
        <f t="shared" si="6"/>
        <v>22</v>
      </c>
      <c r="L28" s="75">
        <f t="shared" si="12"/>
        <v>21</v>
      </c>
      <c r="M28" s="76">
        <f t="shared" si="7"/>
        <v>1</v>
      </c>
      <c r="N28" s="77">
        <f>L28+SUM($M$3:M28)</f>
        <v>34</v>
      </c>
      <c r="O28" s="88"/>
      <c r="P28" s="88"/>
      <c r="Q28" s="88"/>
      <c r="R28" s="88"/>
      <c r="S28" s="88"/>
    </row>
    <row r="29" spans="1:19" ht="15" hidden="1">
      <c r="A29" s="58">
        <v>28</v>
      </c>
      <c r="B29" s="84">
        <v>3.5200000000000002E-2</v>
      </c>
      <c r="C29" s="85">
        <f t="shared" si="0"/>
        <v>1.2776999999999992</v>
      </c>
      <c r="D29" s="60">
        <f t="shared" si="11"/>
        <v>0.53</v>
      </c>
      <c r="E29" s="86">
        <v>11</v>
      </c>
      <c r="F29" s="73">
        <f t="shared" si="2"/>
        <v>0</v>
      </c>
      <c r="G29" s="62">
        <f t="shared" si="3"/>
        <v>0</v>
      </c>
      <c r="H29" s="87">
        <f t="shared" si="9"/>
        <v>9</v>
      </c>
      <c r="I29" s="87">
        <f t="shared" si="4"/>
        <v>36</v>
      </c>
      <c r="J29" s="87">
        <f t="shared" si="5"/>
        <v>49</v>
      </c>
      <c r="K29" s="62">
        <f t="shared" si="6"/>
        <v>22</v>
      </c>
      <c r="L29" s="75">
        <f t="shared" si="12"/>
        <v>22</v>
      </c>
      <c r="M29" s="76">
        <f t="shared" si="7"/>
        <v>0</v>
      </c>
      <c r="N29" s="77">
        <f>L29+SUM($M$3:M29)</f>
        <v>35</v>
      </c>
      <c r="O29" s="88"/>
      <c r="P29" s="88"/>
      <c r="Q29" s="88"/>
      <c r="R29" s="88"/>
      <c r="S29" s="88"/>
    </row>
    <row r="30" spans="1:19" ht="15" hidden="1">
      <c r="A30" s="58">
        <v>29</v>
      </c>
      <c r="B30" s="84">
        <v>3.5200000000000002E-2</v>
      </c>
      <c r="C30" s="85">
        <f t="shared" si="0"/>
        <v>1.3128999999999991</v>
      </c>
      <c r="D30" s="60">
        <f t="shared" si="11"/>
        <v>0.53</v>
      </c>
      <c r="E30" s="86">
        <v>11</v>
      </c>
      <c r="F30" s="73">
        <f t="shared" si="2"/>
        <v>0</v>
      </c>
      <c r="G30" s="62">
        <f t="shared" si="3"/>
        <v>0</v>
      </c>
      <c r="H30" s="87">
        <f t="shared" si="9"/>
        <v>9</v>
      </c>
      <c r="I30" s="87">
        <f t="shared" si="4"/>
        <v>37</v>
      </c>
      <c r="J30" s="87">
        <f t="shared" si="5"/>
        <v>51</v>
      </c>
      <c r="K30" s="62">
        <f t="shared" si="6"/>
        <v>23</v>
      </c>
      <c r="L30" s="75">
        <f t="shared" si="12"/>
        <v>22</v>
      </c>
      <c r="M30" s="76">
        <f t="shared" si="7"/>
        <v>1</v>
      </c>
      <c r="N30" s="77">
        <f>L30+SUM($M$3:M30)</f>
        <v>36</v>
      </c>
      <c r="O30" s="88"/>
      <c r="P30" s="88"/>
      <c r="Q30" s="88"/>
      <c r="R30" s="88"/>
      <c r="S30" s="88"/>
    </row>
    <row r="31" spans="1:19" ht="15" hidden="1">
      <c r="A31" s="90">
        <v>30</v>
      </c>
      <c r="B31" s="84">
        <v>3.5200000000000002E-2</v>
      </c>
      <c r="C31" s="85">
        <f t="shared" si="0"/>
        <v>1.348099999999999</v>
      </c>
      <c r="D31" s="60">
        <f>ROUND($Q$2*B31,2)</f>
        <v>0.53</v>
      </c>
      <c r="E31" s="86">
        <v>11</v>
      </c>
      <c r="F31" s="73">
        <f t="shared" si="2"/>
        <v>0</v>
      </c>
      <c r="G31" s="62">
        <f t="shared" si="3"/>
        <v>0</v>
      </c>
      <c r="H31" s="87">
        <f>TRUNC(H30+D31,0)</f>
        <v>9</v>
      </c>
      <c r="I31" s="87">
        <f t="shared" si="4"/>
        <v>38</v>
      </c>
      <c r="J31" s="87">
        <f t="shared" si="5"/>
        <v>53</v>
      </c>
      <c r="K31" s="62">
        <f t="shared" si="6"/>
        <v>23</v>
      </c>
      <c r="L31" s="75">
        <f t="shared" si="12"/>
        <v>23</v>
      </c>
      <c r="M31" s="76">
        <f t="shared" si="7"/>
        <v>0</v>
      </c>
      <c r="N31" s="77">
        <f>L31+SUM($M$3:M31)</f>
        <v>37</v>
      </c>
      <c r="O31" s="88"/>
      <c r="P31" s="88"/>
      <c r="Q31" s="88"/>
      <c r="R31" s="88"/>
      <c r="S31" s="88"/>
    </row>
    <row r="32" spans="1:19" ht="15">
      <c r="A32" s="91"/>
      <c r="B32" s="92"/>
      <c r="D32" s="93"/>
      <c r="E32" s="94"/>
      <c r="F32" s="95"/>
      <c r="G32" s="96" t="s">
        <v>904</v>
      </c>
      <c r="H32" s="95"/>
      <c r="I32" s="95"/>
      <c r="J32" s="95"/>
      <c r="K32" s="95"/>
      <c r="L32" s="95"/>
      <c r="M32" s="97" t="s">
        <v>905</v>
      </c>
      <c r="N32" s="98" t="s">
        <v>906</v>
      </c>
      <c r="O32" s="88"/>
      <c r="P32" s="88"/>
      <c r="Q32" s="88"/>
      <c r="R32" s="88"/>
      <c r="S32" s="88"/>
    </row>
    <row r="33" spans="1:19" ht="15">
      <c r="A33" s="91"/>
      <c r="B33" s="92"/>
      <c r="D33" s="93"/>
      <c r="E33" s="94"/>
      <c r="F33" s="95"/>
      <c r="G33" s="96">
        <f>SUM(G2:G31)</f>
        <v>9</v>
      </c>
      <c r="H33" s="95"/>
      <c r="I33" s="95"/>
      <c r="J33" s="95"/>
      <c r="K33" s="95"/>
      <c r="L33" s="95"/>
      <c r="M33" s="99">
        <f>SUM(M3:M21)</f>
        <v>9</v>
      </c>
      <c r="N33" s="100">
        <f>G33+M33</f>
        <v>18</v>
      </c>
      <c r="O33" s="88"/>
      <c r="P33" s="88"/>
      <c r="Q33" s="88"/>
      <c r="R33" s="88"/>
      <c r="S33" s="88"/>
    </row>
  </sheetData>
  <sheetProtection selectLockedCells="1" selectUnlockedCells="1"/>
  <dataValidations count="1">
    <dataValidation type="list" showInputMessage="1" showErrorMessage="1" errorTitle="D12 Values only." error="Please select from the available values." promptTitle="Select D12 Value" prompt="Select the D12 result you rolled for this level up." sqref="E2:E31">
      <formula1>$U$3:$U$14</formula1>
    </dataValidation>
  </dataValidations>
  <pageMargins left="0.78749999999999998" right="0.78749999999999998" top="1.0249999999999999" bottom="1.0249999999999999" header="0.78749999999999998" footer="0.78749999999999998"/>
  <pageSetup orientation="portrait" useFirstPageNumber="1" horizontalDpi="300" verticalDpi="300" r:id="rId1"/>
  <headerFooter alignWithMargins="0">
    <oddHeader>&amp;C&amp;A</oddHeader>
    <oddFooter>&amp;CPage &amp;P</oddFooter>
  </headerFooter>
</worksheet>
</file>

<file path=xl/worksheets/sheet8.xml><?xml version="1.0" encoding="utf-8"?>
<worksheet xmlns="http://schemas.openxmlformats.org/spreadsheetml/2006/main" xmlns:r="http://schemas.openxmlformats.org/officeDocument/2006/relationships">
  <dimension ref="A2:S31"/>
  <sheetViews>
    <sheetView topLeftCell="B1" workbookViewId="0">
      <selection activeCell="A2" sqref="A2:A20"/>
    </sheetView>
  </sheetViews>
  <sheetFormatPr defaultRowHeight="15"/>
  <cols>
    <col min="1" max="1" width="0" hidden="1" customWidth="1"/>
  </cols>
  <sheetData>
    <row r="2" spans="1:19">
      <c r="A2" s="54"/>
      <c r="B2" s="54" t="s">
        <v>883</v>
      </c>
      <c r="C2" s="54">
        <v>0</v>
      </c>
      <c r="D2" s="54"/>
      <c r="E2" s="54"/>
      <c r="F2" s="54" t="s">
        <v>884</v>
      </c>
      <c r="G2" s="54">
        <v>0</v>
      </c>
      <c r="H2" s="54"/>
      <c r="I2" s="54"/>
      <c r="J2" s="54" t="s">
        <v>885</v>
      </c>
      <c r="K2" s="54">
        <v>0</v>
      </c>
      <c r="L2" s="54"/>
      <c r="M2" s="54"/>
      <c r="N2" s="54" t="s">
        <v>886</v>
      </c>
      <c r="O2" s="54">
        <v>0</v>
      </c>
      <c r="P2" s="54"/>
      <c r="Q2" s="54"/>
      <c r="R2" s="54" t="s">
        <v>887</v>
      </c>
      <c r="S2" s="54">
        <v>0</v>
      </c>
    </row>
    <row r="3" spans="1:19">
      <c r="A3" s="54">
        <f t="shared" ref="A3:A16" si="0">75/14</f>
        <v>5.3571428571428568</v>
      </c>
      <c r="B3" s="54">
        <f t="shared" ref="B3:B31" si="1">A3/100</f>
        <v>5.3571428571428568E-2</v>
      </c>
      <c r="C3" s="54">
        <f>B3</f>
        <v>5.3571428571428568E-2</v>
      </c>
      <c r="D3" s="54"/>
      <c r="E3" s="54">
        <f>76/14+4.5</f>
        <v>9.9285714285714288</v>
      </c>
      <c r="F3" s="54">
        <f t="shared" ref="F3:F31" si="2">E3/100</f>
        <v>9.9285714285714283E-2</v>
      </c>
      <c r="G3" s="54">
        <f>F3</f>
        <v>9.9285714285714283E-2</v>
      </c>
      <c r="H3" s="54"/>
      <c r="I3" s="54">
        <f>74/14-4.5</f>
        <v>0.78571428571428559</v>
      </c>
      <c r="J3" s="54">
        <f t="shared" ref="J3:J31" si="3">I3/100</f>
        <v>7.8571428571428559E-3</v>
      </c>
      <c r="K3" s="54">
        <f>J3</f>
        <v>7.8571428571428559E-3</v>
      </c>
      <c r="L3" s="54"/>
      <c r="M3" s="54">
        <v>2</v>
      </c>
      <c r="N3" s="54">
        <f t="shared" ref="N3:N31" si="4">M3/100</f>
        <v>0.02</v>
      </c>
      <c r="O3" s="54">
        <f>N3</f>
        <v>0.02</v>
      </c>
      <c r="P3" s="54"/>
      <c r="Q3" s="54">
        <v>9</v>
      </c>
      <c r="R3" s="54">
        <f t="shared" ref="R3:R31" si="5">Q3/100</f>
        <v>0.09</v>
      </c>
      <c r="S3" s="54">
        <f>R3</f>
        <v>0.09</v>
      </c>
    </row>
    <row r="4" spans="1:19">
      <c r="A4" s="54">
        <f t="shared" si="0"/>
        <v>5.3571428571428568</v>
      </c>
      <c r="B4" s="54">
        <f t="shared" si="1"/>
        <v>5.3571428571428568E-2</v>
      </c>
      <c r="C4" s="54">
        <f t="shared" ref="C4:C31" si="6">C3+B4</f>
        <v>0.10714285714285714</v>
      </c>
      <c r="D4" s="54"/>
      <c r="E4" s="54">
        <f>76/14+3.75</f>
        <v>9.1785714285714288</v>
      </c>
      <c r="F4" s="54">
        <f t="shared" si="2"/>
        <v>9.178571428571429E-2</v>
      </c>
      <c r="G4" s="54">
        <f t="shared" ref="G4:G31" si="7">G3+F4</f>
        <v>0.19107142857142856</v>
      </c>
      <c r="H4" s="54"/>
      <c r="I4" s="54">
        <f>74/14-3.75</f>
        <v>1.5357142857142856</v>
      </c>
      <c r="J4" s="54">
        <f t="shared" si="3"/>
        <v>1.5357142857142856E-2</v>
      </c>
      <c r="K4" s="54">
        <f t="shared" ref="K4:K31" si="8">K3+J4</f>
        <v>2.3214285714285712E-2</v>
      </c>
      <c r="L4" s="54"/>
      <c r="M4" s="54">
        <v>3</v>
      </c>
      <c r="N4" s="54">
        <f t="shared" si="4"/>
        <v>0.03</v>
      </c>
      <c r="O4" s="54">
        <f t="shared" ref="O4:O31" si="9">O3+N4</f>
        <v>0.05</v>
      </c>
      <c r="P4" s="54"/>
      <c r="Q4" s="54">
        <v>8</v>
      </c>
      <c r="R4" s="54">
        <f t="shared" si="5"/>
        <v>0.08</v>
      </c>
      <c r="S4" s="54">
        <f t="shared" ref="S4:S31" si="10">S3+R4</f>
        <v>0.16999999999999998</v>
      </c>
    </row>
    <row r="5" spans="1:19">
      <c r="A5" s="54">
        <f t="shared" si="0"/>
        <v>5.3571428571428568</v>
      </c>
      <c r="B5" s="54">
        <f t="shared" si="1"/>
        <v>5.3571428571428568E-2</v>
      </c>
      <c r="C5" s="54">
        <f t="shared" si="6"/>
        <v>0.1607142857142857</v>
      </c>
      <c r="D5" s="54"/>
      <c r="E5" s="54">
        <f>76/14+3</f>
        <v>8.4285714285714288</v>
      </c>
      <c r="F5" s="54">
        <f t="shared" si="2"/>
        <v>8.4285714285714283E-2</v>
      </c>
      <c r="G5" s="54">
        <f t="shared" si="7"/>
        <v>0.27535714285714286</v>
      </c>
      <c r="H5" s="54"/>
      <c r="I5" s="54">
        <f>74/14-3</f>
        <v>2.2857142857142856</v>
      </c>
      <c r="J5" s="54">
        <f t="shared" si="3"/>
        <v>2.2857142857142857E-2</v>
      </c>
      <c r="K5" s="54">
        <f t="shared" si="8"/>
        <v>4.6071428571428569E-2</v>
      </c>
      <c r="L5" s="54"/>
      <c r="M5" s="54">
        <v>4.5</v>
      </c>
      <c r="N5" s="54">
        <f t="shared" si="4"/>
        <v>4.4999999999999998E-2</v>
      </c>
      <c r="O5" s="54">
        <f t="shared" si="9"/>
        <v>9.5000000000000001E-2</v>
      </c>
      <c r="P5" s="54"/>
      <c r="Q5" s="54">
        <v>6.5</v>
      </c>
      <c r="R5" s="54">
        <f t="shared" si="5"/>
        <v>6.5000000000000002E-2</v>
      </c>
      <c r="S5" s="54">
        <f t="shared" si="10"/>
        <v>0.23499999999999999</v>
      </c>
    </row>
    <row r="6" spans="1:19">
      <c r="A6" s="54">
        <f t="shared" si="0"/>
        <v>5.3571428571428568</v>
      </c>
      <c r="B6" s="54">
        <f t="shared" si="1"/>
        <v>5.3571428571428568E-2</v>
      </c>
      <c r="C6" s="54">
        <f t="shared" si="6"/>
        <v>0.21428571428571427</v>
      </c>
      <c r="D6" s="54"/>
      <c r="E6" s="54">
        <f>76/14+2.25</f>
        <v>7.6785714285714288</v>
      </c>
      <c r="F6" s="54">
        <f t="shared" si="2"/>
        <v>7.678571428571429E-2</v>
      </c>
      <c r="G6" s="54">
        <f t="shared" si="7"/>
        <v>0.35214285714285715</v>
      </c>
      <c r="H6" s="54"/>
      <c r="I6" s="54">
        <f>74/14-2.25</f>
        <v>3.0357142857142856</v>
      </c>
      <c r="J6" s="54">
        <f t="shared" si="3"/>
        <v>3.0357142857142857E-2</v>
      </c>
      <c r="K6" s="54">
        <f t="shared" si="8"/>
        <v>7.6428571428571429E-2</v>
      </c>
      <c r="L6" s="54"/>
      <c r="M6" s="54">
        <v>5.5</v>
      </c>
      <c r="N6" s="54">
        <f t="shared" si="4"/>
        <v>5.5E-2</v>
      </c>
      <c r="O6" s="54">
        <f t="shared" si="9"/>
        <v>0.15</v>
      </c>
      <c r="P6" s="54"/>
      <c r="Q6" s="54">
        <v>5</v>
      </c>
      <c r="R6" s="54">
        <f t="shared" si="5"/>
        <v>0.05</v>
      </c>
      <c r="S6" s="54">
        <f t="shared" si="10"/>
        <v>0.28499999999999998</v>
      </c>
    </row>
    <row r="7" spans="1:19">
      <c r="A7" s="54">
        <f t="shared" si="0"/>
        <v>5.3571428571428568</v>
      </c>
      <c r="B7" s="54">
        <f t="shared" si="1"/>
        <v>5.3571428571428568E-2</v>
      </c>
      <c r="C7" s="54">
        <f t="shared" si="6"/>
        <v>0.26785714285714285</v>
      </c>
      <c r="D7" s="54"/>
      <c r="E7" s="54">
        <f>76/14+1.5</f>
        <v>6.9285714285714288</v>
      </c>
      <c r="F7" s="54">
        <f t="shared" si="2"/>
        <v>6.9285714285714284E-2</v>
      </c>
      <c r="G7" s="54">
        <f t="shared" si="7"/>
        <v>0.42142857142857143</v>
      </c>
      <c r="H7" s="54"/>
      <c r="I7" s="54">
        <f>74/14-1.5</f>
        <v>3.7857142857142856</v>
      </c>
      <c r="J7" s="54">
        <f t="shared" si="3"/>
        <v>3.7857142857142853E-2</v>
      </c>
      <c r="K7" s="54">
        <f t="shared" si="8"/>
        <v>0.11428571428571428</v>
      </c>
      <c r="L7" s="54"/>
      <c r="M7" s="54">
        <v>6</v>
      </c>
      <c r="N7" s="54">
        <f t="shared" si="4"/>
        <v>0.06</v>
      </c>
      <c r="O7" s="54">
        <f t="shared" si="9"/>
        <v>0.21</v>
      </c>
      <c r="P7" s="54"/>
      <c r="Q7" s="54">
        <v>4</v>
      </c>
      <c r="R7" s="54">
        <f t="shared" si="5"/>
        <v>0.04</v>
      </c>
      <c r="S7" s="54">
        <f t="shared" si="10"/>
        <v>0.32499999999999996</v>
      </c>
    </row>
    <row r="8" spans="1:19">
      <c r="A8" s="54">
        <f t="shared" si="0"/>
        <v>5.3571428571428568</v>
      </c>
      <c r="B8" s="54">
        <f t="shared" si="1"/>
        <v>5.3571428571428568E-2</v>
      </c>
      <c r="C8" s="54">
        <f t="shared" si="6"/>
        <v>0.3214285714285714</v>
      </c>
      <c r="D8" s="54"/>
      <c r="E8" s="54">
        <f>76/14+0.75</f>
        <v>6.1785714285714288</v>
      </c>
      <c r="F8" s="54">
        <f t="shared" si="2"/>
        <v>6.1785714285714291E-2</v>
      </c>
      <c r="G8" s="54">
        <f t="shared" si="7"/>
        <v>0.48321428571428571</v>
      </c>
      <c r="H8" s="54"/>
      <c r="I8" s="54">
        <f>74/14-0.75</f>
        <v>4.5357142857142856</v>
      </c>
      <c r="J8" s="54">
        <f t="shared" si="3"/>
        <v>4.5357142857142853E-2</v>
      </c>
      <c r="K8" s="54">
        <f t="shared" si="8"/>
        <v>0.15964285714285714</v>
      </c>
      <c r="L8" s="54"/>
      <c r="M8" s="54">
        <v>7.5</v>
      </c>
      <c r="N8" s="54">
        <f t="shared" si="4"/>
        <v>7.4999999999999997E-2</v>
      </c>
      <c r="O8" s="54">
        <f t="shared" si="9"/>
        <v>0.28499999999999998</v>
      </c>
      <c r="P8" s="54"/>
      <c r="Q8" s="54">
        <v>3</v>
      </c>
      <c r="R8" s="54">
        <f t="shared" si="5"/>
        <v>0.03</v>
      </c>
      <c r="S8" s="54">
        <f t="shared" si="10"/>
        <v>0.35499999999999998</v>
      </c>
    </row>
    <row r="9" spans="1:19">
      <c r="A9" s="54">
        <f t="shared" si="0"/>
        <v>5.3571428571428568</v>
      </c>
      <c r="B9" s="54">
        <f t="shared" si="1"/>
        <v>5.3571428571428568E-2</v>
      </c>
      <c r="C9" s="54">
        <f t="shared" si="6"/>
        <v>0.37499999999999994</v>
      </c>
      <c r="D9" s="54"/>
      <c r="E9" s="54">
        <f>76/14</f>
        <v>5.4285714285714288</v>
      </c>
      <c r="F9" s="54">
        <f t="shared" si="2"/>
        <v>5.4285714285714291E-2</v>
      </c>
      <c r="G9" s="54">
        <f t="shared" si="7"/>
        <v>0.53749999999999998</v>
      </c>
      <c r="H9" s="54"/>
      <c r="I9" s="54">
        <f>74/14</f>
        <v>5.2857142857142856</v>
      </c>
      <c r="J9" s="54">
        <f t="shared" si="3"/>
        <v>5.2857142857142853E-2</v>
      </c>
      <c r="K9" s="54">
        <f t="shared" si="8"/>
        <v>0.21249999999999999</v>
      </c>
      <c r="L9" s="54"/>
      <c r="M9" s="54">
        <v>9</v>
      </c>
      <c r="N9" s="54">
        <f t="shared" si="4"/>
        <v>0.09</v>
      </c>
      <c r="O9" s="54">
        <f t="shared" si="9"/>
        <v>0.375</v>
      </c>
      <c r="P9" s="54"/>
      <c r="Q9" s="54">
        <v>2</v>
      </c>
      <c r="R9" s="54">
        <f t="shared" si="5"/>
        <v>0.02</v>
      </c>
      <c r="S9" s="54">
        <f t="shared" si="10"/>
        <v>0.375</v>
      </c>
    </row>
    <row r="10" spans="1:19">
      <c r="A10" s="54">
        <f t="shared" si="0"/>
        <v>5.3571428571428568</v>
      </c>
      <c r="B10" s="54">
        <f t="shared" si="1"/>
        <v>5.3571428571428568E-2</v>
      </c>
      <c r="C10" s="54">
        <f t="shared" si="6"/>
        <v>0.42857142857142849</v>
      </c>
      <c r="D10" s="54"/>
      <c r="E10" s="54">
        <f>76/14</f>
        <v>5.4285714285714288</v>
      </c>
      <c r="F10" s="54">
        <f t="shared" si="2"/>
        <v>5.4285714285714291E-2</v>
      </c>
      <c r="G10" s="54">
        <f t="shared" si="7"/>
        <v>0.59178571428571425</v>
      </c>
      <c r="H10" s="54"/>
      <c r="I10" s="54">
        <f>74/14</f>
        <v>5.2857142857142856</v>
      </c>
      <c r="J10" s="54">
        <f t="shared" si="3"/>
        <v>5.2857142857142853E-2</v>
      </c>
      <c r="K10" s="54">
        <f t="shared" si="8"/>
        <v>0.26535714285714285</v>
      </c>
      <c r="L10" s="54"/>
      <c r="M10" s="54">
        <v>9</v>
      </c>
      <c r="N10" s="54">
        <f t="shared" si="4"/>
        <v>0.09</v>
      </c>
      <c r="O10" s="54">
        <f t="shared" si="9"/>
        <v>0.46499999999999997</v>
      </c>
      <c r="P10" s="54"/>
      <c r="Q10" s="54">
        <v>2</v>
      </c>
      <c r="R10" s="54">
        <f t="shared" si="5"/>
        <v>0.02</v>
      </c>
      <c r="S10" s="54">
        <f t="shared" si="10"/>
        <v>0.39500000000000002</v>
      </c>
    </row>
    <row r="11" spans="1:19">
      <c r="A11" s="54">
        <f t="shared" si="0"/>
        <v>5.3571428571428568</v>
      </c>
      <c r="B11" s="54">
        <f t="shared" si="1"/>
        <v>5.3571428571428568E-2</v>
      </c>
      <c r="C11" s="54">
        <f t="shared" si="6"/>
        <v>0.48214285714285704</v>
      </c>
      <c r="D11" s="54"/>
      <c r="E11" s="54">
        <f>76/14-0.75</f>
        <v>4.6785714285714288</v>
      </c>
      <c r="F11" s="54">
        <f t="shared" si="2"/>
        <v>4.6785714285714292E-2</v>
      </c>
      <c r="G11" s="54">
        <f t="shared" si="7"/>
        <v>0.63857142857142857</v>
      </c>
      <c r="H11" s="54"/>
      <c r="I11" s="54">
        <f>74/14+0.75</f>
        <v>6.0357142857142856</v>
      </c>
      <c r="J11" s="54">
        <f t="shared" si="3"/>
        <v>6.0357142857142859E-2</v>
      </c>
      <c r="K11" s="54">
        <f t="shared" si="8"/>
        <v>0.32571428571428573</v>
      </c>
      <c r="L11" s="54"/>
      <c r="M11" s="54">
        <v>7.5</v>
      </c>
      <c r="N11" s="54">
        <f t="shared" si="4"/>
        <v>7.4999999999999997E-2</v>
      </c>
      <c r="O11" s="54">
        <f t="shared" si="9"/>
        <v>0.53999999999999992</v>
      </c>
      <c r="P11" s="54"/>
      <c r="Q11" s="54">
        <v>3</v>
      </c>
      <c r="R11" s="54">
        <f t="shared" si="5"/>
        <v>0.03</v>
      </c>
      <c r="S11" s="54">
        <f t="shared" si="10"/>
        <v>0.42500000000000004</v>
      </c>
    </row>
    <row r="12" spans="1:19">
      <c r="A12" s="54">
        <f t="shared" si="0"/>
        <v>5.3571428571428568</v>
      </c>
      <c r="B12" s="54">
        <f t="shared" si="1"/>
        <v>5.3571428571428568E-2</v>
      </c>
      <c r="C12" s="54">
        <f t="shared" si="6"/>
        <v>0.53571428571428559</v>
      </c>
      <c r="D12" s="54"/>
      <c r="E12" s="54">
        <f>76/14-1.5</f>
        <v>3.9285714285714288</v>
      </c>
      <c r="F12" s="54">
        <f t="shared" si="2"/>
        <v>3.9285714285714285E-2</v>
      </c>
      <c r="G12" s="54">
        <f t="shared" si="7"/>
        <v>0.67785714285714282</v>
      </c>
      <c r="H12" s="54"/>
      <c r="I12" s="54">
        <f>74/14+1.5</f>
        <v>6.7857142857142856</v>
      </c>
      <c r="J12" s="54">
        <f t="shared" si="3"/>
        <v>6.7857142857142852E-2</v>
      </c>
      <c r="K12" s="54">
        <f t="shared" si="8"/>
        <v>0.39357142857142857</v>
      </c>
      <c r="L12" s="54"/>
      <c r="M12" s="54">
        <v>6</v>
      </c>
      <c r="N12" s="54">
        <f t="shared" si="4"/>
        <v>0.06</v>
      </c>
      <c r="O12" s="54">
        <f t="shared" si="9"/>
        <v>0.59999999999999987</v>
      </c>
      <c r="P12" s="54"/>
      <c r="Q12" s="54">
        <v>4</v>
      </c>
      <c r="R12" s="54">
        <f t="shared" si="5"/>
        <v>0.04</v>
      </c>
      <c r="S12" s="54">
        <f t="shared" si="10"/>
        <v>0.46500000000000002</v>
      </c>
    </row>
    <row r="13" spans="1:19">
      <c r="A13" s="54">
        <f t="shared" si="0"/>
        <v>5.3571428571428568</v>
      </c>
      <c r="B13" s="54">
        <f t="shared" si="1"/>
        <v>5.3571428571428568E-2</v>
      </c>
      <c r="C13" s="54">
        <f t="shared" si="6"/>
        <v>0.58928571428571419</v>
      </c>
      <c r="D13" s="54"/>
      <c r="E13" s="54">
        <f>76/14-2.25</f>
        <v>3.1785714285714288</v>
      </c>
      <c r="F13" s="54">
        <f t="shared" si="2"/>
        <v>3.1785714285714285E-2</v>
      </c>
      <c r="G13" s="54">
        <f t="shared" si="7"/>
        <v>0.70964285714285713</v>
      </c>
      <c r="H13" s="54"/>
      <c r="I13" s="54">
        <f>74/14+2.25</f>
        <v>7.5357142857142856</v>
      </c>
      <c r="J13" s="54">
        <f t="shared" si="3"/>
        <v>7.5357142857142859E-2</v>
      </c>
      <c r="K13" s="54">
        <f t="shared" si="8"/>
        <v>0.46892857142857142</v>
      </c>
      <c r="L13" s="54"/>
      <c r="M13" s="54">
        <v>5.5</v>
      </c>
      <c r="N13" s="54">
        <f t="shared" si="4"/>
        <v>5.5E-2</v>
      </c>
      <c r="O13" s="54">
        <f t="shared" si="9"/>
        <v>0.65499999999999992</v>
      </c>
      <c r="P13" s="54"/>
      <c r="Q13" s="54">
        <v>5</v>
      </c>
      <c r="R13" s="54">
        <f t="shared" si="5"/>
        <v>0.05</v>
      </c>
      <c r="S13" s="54">
        <f t="shared" si="10"/>
        <v>0.51500000000000001</v>
      </c>
    </row>
    <row r="14" spans="1:19">
      <c r="A14" s="54">
        <f t="shared" si="0"/>
        <v>5.3571428571428568</v>
      </c>
      <c r="B14" s="54">
        <f t="shared" si="1"/>
        <v>5.3571428571428568E-2</v>
      </c>
      <c r="C14" s="54">
        <f t="shared" si="6"/>
        <v>0.64285714285714279</v>
      </c>
      <c r="D14" s="54"/>
      <c r="E14" s="54">
        <f>76/14-3</f>
        <v>2.4285714285714288</v>
      </c>
      <c r="F14" s="54">
        <f t="shared" si="2"/>
        <v>2.4285714285714289E-2</v>
      </c>
      <c r="G14" s="54">
        <f t="shared" si="7"/>
        <v>0.73392857142857137</v>
      </c>
      <c r="H14" s="54"/>
      <c r="I14" s="54">
        <f>74/14+3</f>
        <v>8.2857142857142847</v>
      </c>
      <c r="J14" s="54">
        <f t="shared" si="3"/>
        <v>8.2857142857142851E-2</v>
      </c>
      <c r="K14" s="54">
        <f t="shared" si="8"/>
        <v>0.55178571428571432</v>
      </c>
      <c r="L14" s="54"/>
      <c r="M14" s="54">
        <v>4.5</v>
      </c>
      <c r="N14" s="54">
        <f t="shared" si="4"/>
        <v>4.4999999999999998E-2</v>
      </c>
      <c r="O14" s="54">
        <f t="shared" si="9"/>
        <v>0.7</v>
      </c>
      <c r="P14" s="54"/>
      <c r="Q14" s="54">
        <v>6.5</v>
      </c>
      <c r="R14" s="54">
        <f t="shared" si="5"/>
        <v>6.5000000000000002E-2</v>
      </c>
      <c r="S14" s="54">
        <f t="shared" si="10"/>
        <v>0.58000000000000007</v>
      </c>
    </row>
    <row r="15" spans="1:19" ht="15.75" thickBot="1">
      <c r="A15" s="54">
        <f t="shared" si="0"/>
        <v>5.3571428571428568</v>
      </c>
      <c r="B15" s="54">
        <f t="shared" si="1"/>
        <v>5.3571428571428568E-2</v>
      </c>
      <c r="C15" s="54">
        <f t="shared" si="6"/>
        <v>0.6964285714285714</v>
      </c>
      <c r="D15" s="54"/>
      <c r="E15" s="54">
        <f>76/14-3.75</f>
        <v>1.6785714285714288</v>
      </c>
      <c r="F15" s="54">
        <f t="shared" si="2"/>
        <v>1.6785714285714289E-2</v>
      </c>
      <c r="G15" s="54">
        <f t="shared" si="7"/>
        <v>0.75071428571428567</v>
      </c>
      <c r="H15" s="54"/>
      <c r="I15" s="54">
        <f>74/14+3.75</f>
        <v>9.0357142857142847</v>
      </c>
      <c r="J15" s="54">
        <f t="shared" si="3"/>
        <v>9.0357142857142844E-2</v>
      </c>
      <c r="K15" s="54">
        <f t="shared" si="8"/>
        <v>0.64214285714285713</v>
      </c>
      <c r="L15" s="54"/>
      <c r="M15" s="54">
        <v>3</v>
      </c>
      <c r="N15" s="54">
        <f t="shared" si="4"/>
        <v>0.03</v>
      </c>
      <c r="O15" s="54">
        <f t="shared" si="9"/>
        <v>0.73</v>
      </c>
      <c r="P15" s="54"/>
      <c r="Q15" s="54">
        <v>8</v>
      </c>
      <c r="R15" s="54">
        <f t="shared" si="5"/>
        <v>0.08</v>
      </c>
      <c r="S15" s="54">
        <f t="shared" si="10"/>
        <v>0.66</v>
      </c>
    </row>
    <row r="16" spans="1:19" ht="15.75" thickBot="1">
      <c r="A16" s="55">
        <f t="shared" si="0"/>
        <v>5.3571428571428568</v>
      </c>
      <c r="B16" s="56">
        <f t="shared" si="1"/>
        <v>5.3571428571428568E-2</v>
      </c>
      <c r="C16" s="56">
        <f t="shared" si="6"/>
        <v>0.75</v>
      </c>
      <c r="D16" s="56"/>
      <c r="E16" s="56">
        <f>76/14-4.5</f>
        <v>0.92857142857142883</v>
      </c>
      <c r="F16" s="56">
        <f t="shared" si="2"/>
        <v>9.2857142857142878E-3</v>
      </c>
      <c r="G16" s="56">
        <f t="shared" si="7"/>
        <v>0.76</v>
      </c>
      <c r="H16" s="56"/>
      <c r="I16" s="56">
        <f>74/14+4.5</f>
        <v>9.7857142857142847</v>
      </c>
      <c r="J16" s="56">
        <f t="shared" si="3"/>
        <v>9.7857142857142851E-2</v>
      </c>
      <c r="K16" s="56">
        <f t="shared" si="8"/>
        <v>0.74</v>
      </c>
      <c r="L16" s="56"/>
      <c r="M16" s="56">
        <v>2</v>
      </c>
      <c r="N16" s="56">
        <f t="shared" si="4"/>
        <v>0.02</v>
      </c>
      <c r="O16" s="56">
        <f t="shared" si="9"/>
        <v>0.75</v>
      </c>
      <c r="P16" s="56"/>
      <c r="Q16" s="56">
        <v>9</v>
      </c>
      <c r="R16" s="56">
        <f t="shared" si="5"/>
        <v>0.09</v>
      </c>
      <c r="S16" s="56">
        <f t="shared" si="10"/>
        <v>0.75</v>
      </c>
    </row>
    <row r="17" spans="1:19">
      <c r="A17" s="54">
        <f t="shared" ref="A17:A25" si="11">20/9</f>
        <v>2.2222222222222223</v>
      </c>
      <c r="B17" s="54">
        <f t="shared" si="1"/>
        <v>2.2222222222222223E-2</v>
      </c>
      <c r="C17" s="54">
        <f t="shared" si="6"/>
        <v>0.77222222222222225</v>
      </c>
      <c r="D17" s="54"/>
      <c r="E17" s="54">
        <f>21/9+2</f>
        <v>4.3333333333333339</v>
      </c>
      <c r="F17" s="54">
        <f t="shared" si="2"/>
        <v>4.3333333333333342E-2</v>
      </c>
      <c r="G17" s="54">
        <f t="shared" si="7"/>
        <v>0.80333333333333334</v>
      </c>
      <c r="H17" s="54"/>
      <c r="I17" s="54">
        <f>19/9-2</f>
        <v>0.11111111111111116</v>
      </c>
      <c r="J17" s="54">
        <f t="shared" si="3"/>
        <v>1.1111111111111115E-3</v>
      </c>
      <c r="K17" s="54">
        <f t="shared" si="8"/>
        <v>0.74111111111111105</v>
      </c>
      <c r="L17" s="54"/>
      <c r="M17" s="54">
        <v>1</v>
      </c>
      <c r="N17" s="54">
        <f t="shared" si="4"/>
        <v>0.01</v>
      </c>
      <c r="O17" s="54">
        <f t="shared" si="9"/>
        <v>0.76</v>
      </c>
      <c r="P17" s="54"/>
      <c r="Q17" s="54">
        <v>3.5</v>
      </c>
      <c r="R17" s="54">
        <f t="shared" si="5"/>
        <v>3.5000000000000003E-2</v>
      </c>
      <c r="S17" s="54">
        <f t="shared" si="10"/>
        <v>0.78500000000000003</v>
      </c>
    </row>
    <row r="18" spans="1:19">
      <c r="A18" s="54">
        <f t="shared" si="11"/>
        <v>2.2222222222222223</v>
      </c>
      <c r="B18" s="54">
        <f t="shared" si="1"/>
        <v>2.2222222222222223E-2</v>
      </c>
      <c r="C18" s="54">
        <f t="shared" si="6"/>
        <v>0.79444444444444451</v>
      </c>
      <c r="D18" s="54"/>
      <c r="E18" s="54">
        <f>21/9+1.5</f>
        <v>3.8333333333333335</v>
      </c>
      <c r="F18" s="54">
        <f t="shared" si="2"/>
        <v>3.8333333333333337E-2</v>
      </c>
      <c r="G18" s="54">
        <f t="shared" si="7"/>
        <v>0.84166666666666667</v>
      </c>
      <c r="H18" s="54"/>
      <c r="I18" s="54">
        <f>19/9-1.5</f>
        <v>0.61111111111111116</v>
      </c>
      <c r="J18" s="54">
        <f t="shared" si="3"/>
        <v>6.1111111111111114E-3</v>
      </c>
      <c r="K18" s="54">
        <f t="shared" si="8"/>
        <v>0.74722222222222212</v>
      </c>
      <c r="L18" s="54"/>
      <c r="M18" s="54">
        <v>1.5</v>
      </c>
      <c r="N18" s="54">
        <f t="shared" si="4"/>
        <v>1.4999999999999999E-2</v>
      </c>
      <c r="O18" s="54">
        <f t="shared" si="9"/>
        <v>0.77500000000000002</v>
      </c>
      <c r="P18" s="54"/>
      <c r="Q18" s="54">
        <v>3</v>
      </c>
      <c r="R18" s="54">
        <f t="shared" si="5"/>
        <v>0.03</v>
      </c>
      <c r="S18" s="54">
        <f t="shared" si="10"/>
        <v>0.81500000000000006</v>
      </c>
    </row>
    <row r="19" spans="1:19">
      <c r="A19" s="54">
        <f t="shared" si="11"/>
        <v>2.2222222222222223</v>
      </c>
      <c r="B19" s="54">
        <f t="shared" si="1"/>
        <v>2.2222222222222223E-2</v>
      </c>
      <c r="C19" s="54">
        <f t="shared" si="6"/>
        <v>0.81666666666666676</v>
      </c>
      <c r="D19" s="54"/>
      <c r="E19" s="54">
        <f>21/9+1</f>
        <v>3.3333333333333335</v>
      </c>
      <c r="F19" s="54">
        <f t="shared" si="2"/>
        <v>3.3333333333333333E-2</v>
      </c>
      <c r="G19" s="54">
        <f t="shared" si="7"/>
        <v>0.875</v>
      </c>
      <c r="H19" s="54"/>
      <c r="I19" s="54">
        <f>19/9-1</f>
        <v>1.1111111111111112</v>
      </c>
      <c r="J19" s="54">
        <f t="shared" si="3"/>
        <v>1.1111111111111112E-2</v>
      </c>
      <c r="K19" s="54">
        <f t="shared" si="8"/>
        <v>0.75833333333333319</v>
      </c>
      <c r="L19" s="54"/>
      <c r="M19" s="54">
        <v>2</v>
      </c>
      <c r="N19" s="54">
        <f t="shared" si="4"/>
        <v>0.02</v>
      </c>
      <c r="O19" s="54">
        <f t="shared" si="9"/>
        <v>0.79500000000000004</v>
      </c>
      <c r="P19" s="54"/>
      <c r="Q19" s="54">
        <v>2</v>
      </c>
      <c r="R19" s="54">
        <f t="shared" si="5"/>
        <v>0.02</v>
      </c>
      <c r="S19" s="54">
        <f t="shared" si="10"/>
        <v>0.83500000000000008</v>
      </c>
    </row>
    <row r="20" spans="1:19">
      <c r="A20" s="54">
        <f t="shared" si="11"/>
        <v>2.2222222222222223</v>
      </c>
      <c r="B20" s="54">
        <f t="shared" si="1"/>
        <v>2.2222222222222223E-2</v>
      </c>
      <c r="C20" s="54">
        <f t="shared" si="6"/>
        <v>0.83888888888888902</v>
      </c>
      <c r="D20" s="54"/>
      <c r="E20" s="54">
        <f>21/9+0.5</f>
        <v>2.8333333333333335</v>
      </c>
      <c r="F20" s="54">
        <f t="shared" si="2"/>
        <v>2.8333333333333335E-2</v>
      </c>
      <c r="G20" s="54">
        <f t="shared" si="7"/>
        <v>0.90333333333333332</v>
      </c>
      <c r="H20" s="54"/>
      <c r="I20" s="54">
        <f>19/9-0.5</f>
        <v>1.6111111111111112</v>
      </c>
      <c r="J20" s="54">
        <f t="shared" si="3"/>
        <v>1.6111111111111111E-2</v>
      </c>
      <c r="K20" s="54">
        <f t="shared" si="8"/>
        <v>0.77444444444444427</v>
      </c>
      <c r="L20" s="54"/>
      <c r="M20" s="54">
        <v>3</v>
      </c>
      <c r="N20" s="54">
        <f t="shared" si="4"/>
        <v>0.03</v>
      </c>
      <c r="O20" s="54">
        <f t="shared" si="9"/>
        <v>0.82500000000000007</v>
      </c>
      <c r="P20" s="54"/>
      <c r="Q20" s="54">
        <v>1.25</v>
      </c>
      <c r="R20" s="54">
        <f t="shared" si="5"/>
        <v>1.2500000000000001E-2</v>
      </c>
      <c r="S20" s="54">
        <f t="shared" si="10"/>
        <v>0.84750000000000003</v>
      </c>
    </row>
    <row r="21" spans="1:19">
      <c r="A21" s="54">
        <f t="shared" si="11"/>
        <v>2.2222222222222223</v>
      </c>
      <c r="B21" s="54">
        <f t="shared" si="1"/>
        <v>2.2222222222222223E-2</v>
      </c>
      <c r="C21" s="54">
        <f t="shared" si="6"/>
        <v>0.86111111111111127</v>
      </c>
      <c r="D21" s="54"/>
      <c r="E21" s="54">
        <f>21/9</f>
        <v>2.3333333333333335</v>
      </c>
      <c r="F21" s="54">
        <f t="shared" si="2"/>
        <v>2.3333333333333334E-2</v>
      </c>
      <c r="G21" s="54">
        <f t="shared" si="7"/>
        <v>0.92666666666666664</v>
      </c>
      <c r="H21" s="54"/>
      <c r="I21" s="54">
        <f>19/9</f>
        <v>2.1111111111111112</v>
      </c>
      <c r="J21" s="54">
        <f t="shared" si="3"/>
        <v>2.1111111111111112E-2</v>
      </c>
      <c r="K21" s="54">
        <f t="shared" si="8"/>
        <v>0.79555555555555535</v>
      </c>
      <c r="L21" s="54"/>
      <c r="M21" s="54">
        <v>5</v>
      </c>
      <c r="N21" s="54">
        <f t="shared" si="4"/>
        <v>0.05</v>
      </c>
      <c r="O21" s="54">
        <f t="shared" si="9"/>
        <v>0.87500000000000011</v>
      </c>
      <c r="P21" s="54"/>
      <c r="Q21" s="54">
        <v>0.5</v>
      </c>
      <c r="R21" s="54">
        <f t="shared" si="5"/>
        <v>5.0000000000000001E-3</v>
      </c>
      <c r="S21" s="54">
        <f t="shared" si="10"/>
        <v>0.85250000000000004</v>
      </c>
    </row>
    <row r="22" spans="1:19">
      <c r="A22" s="54">
        <f t="shared" si="11"/>
        <v>2.2222222222222223</v>
      </c>
      <c r="B22" s="54">
        <f t="shared" si="1"/>
        <v>2.2222222222222223E-2</v>
      </c>
      <c r="C22" s="54">
        <f t="shared" si="6"/>
        <v>0.88333333333333353</v>
      </c>
      <c r="D22" s="54"/>
      <c r="E22" s="54">
        <f>21/9-0.5</f>
        <v>1.8333333333333335</v>
      </c>
      <c r="F22" s="54">
        <f t="shared" si="2"/>
        <v>1.8333333333333333E-2</v>
      </c>
      <c r="G22" s="54">
        <f t="shared" si="7"/>
        <v>0.94499999999999995</v>
      </c>
      <c r="H22" s="54"/>
      <c r="I22" s="54">
        <f>19/9+0.5</f>
        <v>2.6111111111111112</v>
      </c>
      <c r="J22" s="54">
        <f t="shared" si="3"/>
        <v>2.6111111111111113E-2</v>
      </c>
      <c r="K22" s="54">
        <f t="shared" si="8"/>
        <v>0.82166666666666643</v>
      </c>
      <c r="L22" s="54"/>
      <c r="M22" s="54">
        <v>3</v>
      </c>
      <c r="N22" s="54">
        <f t="shared" si="4"/>
        <v>0.03</v>
      </c>
      <c r="O22" s="54">
        <f t="shared" si="9"/>
        <v>0.90500000000000014</v>
      </c>
      <c r="P22" s="54"/>
      <c r="Q22" s="54">
        <v>1.25</v>
      </c>
      <c r="R22" s="54">
        <f t="shared" si="5"/>
        <v>1.2500000000000001E-2</v>
      </c>
      <c r="S22" s="54">
        <f t="shared" si="10"/>
        <v>0.86499999999999999</v>
      </c>
    </row>
    <row r="23" spans="1:19">
      <c r="A23" s="54">
        <f t="shared" si="11"/>
        <v>2.2222222222222223</v>
      </c>
      <c r="B23" s="54">
        <f t="shared" si="1"/>
        <v>2.2222222222222223E-2</v>
      </c>
      <c r="C23" s="54">
        <f t="shared" si="6"/>
        <v>0.90555555555555578</v>
      </c>
      <c r="D23" s="54"/>
      <c r="E23" s="54">
        <f>21/9-1</f>
        <v>1.3333333333333335</v>
      </c>
      <c r="F23" s="54">
        <f t="shared" si="2"/>
        <v>1.3333333333333334E-2</v>
      </c>
      <c r="G23" s="54">
        <f t="shared" si="7"/>
        <v>0.95833333333333326</v>
      </c>
      <c r="H23" s="54"/>
      <c r="I23" s="54">
        <f>19/9+1</f>
        <v>3.1111111111111112</v>
      </c>
      <c r="J23" s="54">
        <f t="shared" si="3"/>
        <v>3.111111111111111E-2</v>
      </c>
      <c r="K23" s="54">
        <f t="shared" si="8"/>
        <v>0.85277777777777752</v>
      </c>
      <c r="L23" s="54"/>
      <c r="M23" s="54">
        <v>2</v>
      </c>
      <c r="N23" s="54">
        <f t="shared" si="4"/>
        <v>0.02</v>
      </c>
      <c r="O23" s="54">
        <f t="shared" si="9"/>
        <v>0.92500000000000016</v>
      </c>
      <c r="P23" s="54"/>
      <c r="Q23" s="54">
        <v>2</v>
      </c>
      <c r="R23" s="54">
        <f t="shared" si="5"/>
        <v>0.02</v>
      </c>
      <c r="S23" s="54">
        <f t="shared" si="10"/>
        <v>0.88500000000000001</v>
      </c>
    </row>
    <row r="24" spans="1:19" ht="15.75" thickBot="1">
      <c r="A24" s="54">
        <f t="shared" si="11"/>
        <v>2.2222222222222223</v>
      </c>
      <c r="B24" s="54">
        <f t="shared" si="1"/>
        <v>2.2222222222222223E-2</v>
      </c>
      <c r="C24" s="54">
        <f t="shared" si="6"/>
        <v>0.92777777777777803</v>
      </c>
      <c r="D24" s="54"/>
      <c r="E24" s="54">
        <f>21/9-1.5</f>
        <v>0.83333333333333348</v>
      </c>
      <c r="F24" s="54">
        <f t="shared" si="2"/>
        <v>8.333333333333335E-3</v>
      </c>
      <c r="G24" s="54">
        <f t="shared" si="7"/>
        <v>0.96666666666666656</v>
      </c>
      <c r="H24" s="54"/>
      <c r="I24" s="54">
        <f>19/9+1.5</f>
        <v>3.6111111111111112</v>
      </c>
      <c r="J24" s="54">
        <f t="shared" si="3"/>
        <v>3.6111111111111115E-2</v>
      </c>
      <c r="K24" s="54">
        <f t="shared" si="8"/>
        <v>0.88888888888888862</v>
      </c>
      <c r="L24" s="54"/>
      <c r="M24" s="54">
        <v>1.5</v>
      </c>
      <c r="N24" s="54">
        <f t="shared" si="4"/>
        <v>1.4999999999999999E-2</v>
      </c>
      <c r="O24" s="54">
        <f t="shared" si="9"/>
        <v>0.94000000000000017</v>
      </c>
      <c r="P24" s="54"/>
      <c r="Q24" s="54">
        <v>3</v>
      </c>
      <c r="R24" s="54">
        <f t="shared" si="5"/>
        <v>0.03</v>
      </c>
      <c r="S24" s="54">
        <f t="shared" si="10"/>
        <v>0.91500000000000004</v>
      </c>
    </row>
    <row r="25" spans="1:19" ht="15.75" thickBot="1">
      <c r="A25" s="55">
        <f t="shared" si="11"/>
        <v>2.2222222222222223</v>
      </c>
      <c r="B25" s="56">
        <f t="shared" si="1"/>
        <v>2.2222222222222223E-2</v>
      </c>
      <c r="C25" s="56">
        <f t="shared" si="6"/>
        <v>0.95000000000000029</v>
      </c>
      <c r="D25" s="56"/>
      <c r="E25" s="56">
        <f>21/9-2</f>
        <v>0.33333333333333348</v>
      </c>
      <c r="F25" s="56">
        <f t="shared" si="2"/>
        <v>3.3333333333333348E-3</v>
      </c>
      <c r="G25" s="56">
        <f t="shared" si="7"/>
        <v>0.96999999999999986</v>
      </c>
      <c r="H25" s="56"/>
      <c r="I25" s="56">
        <f>19/9+2</f>
        <v>4.1111111111111107</v>
      </c>
      <c r="J25" s="56">
        <f t="shared" si="3"/>
        <v>4.1111111111111105E-2</v>
      </c>
      <c r="K25" s="56">
        <f t="shared" si="8"/>
        <v>0.92999999999999972</v>
      </c>
      <c r="L25" s="56"/>
      <c r="M25" s="56">
        <v>1</v>
      </c>
      <c r="N25" s="56">
        <f t="shared" si="4"/>
        <v>0.01</v>
      </c>
      <c r="O25" s="56">
        <f t="shared" si="9"/>
        <v>0.95000000000000018</v>
      </c>
      <c r="P25" s="56"/>
      <c r="Q25" s="56">
        <v>3.5</v>
      </c>
      <c r="R25" s="56">
        <f t="shared" si="5"/>
        <v>3.5000000000000003E-2</v>
      </c>
      <c r="S25" s="56">
        <f t="shared" si="10"/>
        <v>0.95000000000000007</v>
      </c>
    </row>
    <row r="26" spans="1:19">
      <c r="A26" s="54">
        <f t="shared" ref="A26:A31" si="12">5/6</f>
        <v>0.83333333333333337</v>
      </c>
      <c r="B26" s="54">
        <f t="shared" si="1"/>
        <v>8.3333333333333332E-3</v>
      </c>
      <c r="C26" s="54">
        <f t="shared" si="6"/>
        <v>0.95833333333333359</v>
      </c>
      <c r="D26" s="54"/>
      <c r="E26" s="54">
        <f>2/8</f>
        <v>0.25</v>
      </c>
      <c r="F26" s="54">
        <f t="shared" si="2"/>
        <v>2.5000000000000001E-3</v>
      </c>
      <c r="G26" s="54">
        <f t="shared" si="7"/>
        <v>0.97249999999999981</v>
      </c>
      <c r="H26" s="54"/>
      <c r="I26" s="54">
        <f>5/6</f>
        <v>0.83333333333333337</v>
      </c>
      <c r="J26" s="54">
        <f t="shared" si="3"/>
        <v>8.3333333333333332E-3</v>
      </c>
      <c r="K26" s="54">
        <f t="shared" si="8"/>
        <v>0.93833333333333302</v>
      </c>
      <c r="L26" s="54"/>
      <c r="M26" s="54">
        <v>0.5</v>
      </c>
      <c r="N26" s="54">
        <f t="shared" si="4"/>
        <v>5.0000000000000001E-3</v>
      </c>
      <c r="O26" s="54">
        <f t="shared" si="9"/>
        <v>0.95500000000000018</v>
      </c>
      <c r="P26" s="54"/>
      <c r="Q26" s="54">
        <f>7/6</f>
        <v>1.1666666666666667</v>
      </c>
      <c r="R26" s="54">
        <f t="shared" si="5"/>
        <v>1.1666666666666667E-2</v>
      </c>
      <c r="S26" s="54">
        <f t="shared" si="10"/>
        <v>0.96166666666666678</v>
      </c>
    </row>
    <row r="27" spans="1:19">
      <c r="A27" s="54">
        <f t="shared" si="12"/>
        <v>0.83333333333333337</v>
      </c>
      <c r="B27" s="54">
        <f t="shared" si="1"/>
        <v>8.3333333333333332E-3</v>
      </c>
      <c r="C27" s="54">
        <f t="shared" si="6"/>
        <v>0.9666666666666669</v>
      </c>
      <c r="D27" s="54"/>
      <c r="E27" s="54">
        <f>3/8</f>
        <v>0.375</v>
      </c>
      <c r="F27" s="54">
        <f t="shared" si="2"/>
        <v>3.7499999999999999E-3</v>
      </c>
      <c r="G27" s="54">
        <f t="shared" si="7"/>
        <v>0.97624999999999984</v>
      </c>
      <c r="H27" s="54"/>
      <c r="I27" s="54">
        <v>1</v>
      </c>
      <c r="J27" s="54">
        <f t="shared" si="3"/>
        <v>0.01</v>
      </c>
      <c r="K27" s="54">
        <f t="shared" si="8"/>
        <v>0.94833333333333303</v>
      </c>
      <c r="L27" s="54"/>
      <c r="M27" s="54">
        <f>5/6</f>
        <v>0.83333333333333337</v>
      </c>
      <c r="N27" s="54">
        <f t="shared" si="4"/>
        <v>8.3333333333333332E-3</v>
      </c>
      <c r="O27" s="54">
        <f t="shared" si="9"/>
        <v>0.96333333333333349</v>
      </c>
      <c r="P27" s="54"/>
      <c r="Q27" s="54">
        <f>5/6</f>
        <v>0.83333333333333337</v>
      </c>
      <c r="R27" s="54">
        <f t="shared" si="5"/>
        <v>8.3333333333333332E-3</v>
      </c>
      <c r="S27" s="54">
        <f t="shared" si="10"/>
        <v>0.97000000000000008</v>
      </c>
    </row>
    <row r="28" spans="1:19">
      <c r="A28" s="54">
        <f t="shared" si="12"/>
        <v>0.83333333333333337</v>
      </c>
      <c r="B28" s="54">
        <f t="shared" si="1"/>
        <v>8.3333333333333332E-3</v>
      </c>
      <c r="C28" s="54">
        <f t="shared" si="6"/>
        <v>0.9750000000000002</v>
      </c>
      <c r="D28" s="54"/>
      <c r="E28" s="54">
        <v>0.5</v>
      </c>
      <c r="F28" s="54">
        <f t="shared" si="2"/>
        <v>5.0000000000000001E-3</v>
      </c>
      <c r="G28" s="54">
        <f t="shared" si="7"/>
        <v>0.98124999999999984</v>
      </c>
      <c r="H28" s="54"/>
      <c r="I28" s="54">
        <f>7/6</f>
        <v>1.1666666666666667</v>
      </c>
      <c r="J28" s="54">
        <f t="shared" si="3"/>
        <v>1.1666666666666667E-2</v>
      </c>
      <c r="K28" s="54">
        <f t="shared" si="8"/>
        <v>0.95999999999999974</v>
      </c>
      <c r="L28" s="54"/>
      <c r="M28" s="54">
        <f>7/6</f>
        <v>1.1666666666666667</v>
      </c>
      <c r="N28" s="54">
        <f t="shared" si="4"/>
        <v>1.1666666666666667E-2</v>
      </c>
      <c r="O28" s="54">
        <f t="shared" si="9"/>
        <v>0.9750000000000002</v>
      </c>
      <c r="P28" s="54"/>
      <c r="Q28" s="54">
        <f>3/6</f>
        <v>0.5</v>
      </c>
      <c r="R28" s="54">
        <f t="shared" si="5"/>
        <v>5.0000000000000001E-3</v>
      </c>
      <c r="S28" s="54">
        <f t="shared" si="10"/>
        <v>0.97500000000000009</v>
      </c>
    </row>
    <row r="29" spans="1:19">
      <c r="A29" s="54">
        <f t="shared" si="12"/>
        <v>0.83333333333333337</v>
      </c>
      <c r="B29" s="54">
        <f t="shared" si="1"/>
        <v>8.3333333333333332E-3</v>
      </c>
      <c r="C29" s="54">
        <f t="shared" si="6"/>
        <v>0.9833333333333335</v>
      </c>
      <c r="D29" s="54"/>
      <c r="E29" s="54">
        <v>0.5</v>
      </c>
      <c r="F29" s="54">
        <f t="shared" si="2"/>
        <v>5.0000000000000001E-3</v>
      </c>
      <c r="G29" s="54">
        <f t="shared" si="7"/>
        <v>0.98624999999999985</v>
      </c>
      <c r="H29" s="54"/>
      <c r="I29" s="54">
        <f>7/6</f>
        <v>1.1666666666666667</v>
      </c>
      <c r="J29" s="54">
        <f t="shared" si="3"/>
        <v>1.1666666666666667E-2</v>
      </c>
      <c r="K29" s="54">
        <f t="shared" si="8"/>
        <v>0.97166666666666646</v>
      </c>
      <c r="L29" s="54"/>
      <c r="M29" s="54">
        <f>7/6</f>
        <v>1.1666666666666667</v>
      </c>
      <c r="N29" s="54">
        <f t="shared" si="4"/>
        <v>1.1666666666666667E-2</v>
      </c>
      <c r="O29" s="54">
        <f t="shared" si="9"/>
        <v>0.98666666666666691</v>
      </c>
      <c r="P29" s="54"/>
      <c r="Q29" s="54">
        <v>0.5</v>
      </c>
      <c r="R29" s="54">
        <f t="shared" si="5"/>
        <v>5.0000000000000001E-3</v>
      </c>
      <c r="S29" s="54">
        <f t="shared" si="10"/>
        <v>0.98000000000000009</v>
      </c>
    </row>
    <row r="30" spans="1:19">
      <c r="A30" s="54">
        <f t="shared" si="12"/>
        <v>0.83333333333333337</v>
      </c>
      <c r="B30" s="54">
        <f t="shared" si="1"/>
        <v>8.3333333333333332E-3</v>
      </c>
      <c r="C30" s="54">
        <f t="shared" si="6"/>
        <v>0.99166666666666681</v>
      </c>
      <c r="D30" s="54"/>
      <c r="E30" s="54">
        <f>5/8</f>
        <v>0.625</v>
      </c>
      <c r="F30" s="54">
        <f t="shared" si="2"/>
        <v>6.2500000000000003E-3</v>
      </c>
      <c r="G30" s="54">
        <f t="shared" si="7"/>
        <v>0.99249999999999983</v>
      </c>
      <c r="H30" s="54"/>
      <c r="I30" s="54">
        <f>8/6</f>
        <v>1.3333333333333333</v>
      </c>
      <c r="J30" s="54">
        <f t="shared" si="3"/>
        <v>1.3333333333333332E-2</v>
      </c>
      <c r="K30" s="54">
        <f t="shared" si="8"/>
        <v>0.98499999999999976</v>
      </c>
      <c r="L30" s="54"/>
      <c r="M30" s="54">
        <f>5/6</f>
        <v>0.83333333333333337</v>
      </c>
      <c r="N30" s="54">
        <f t="shared" si="4"/>
        <v>8.3333333333333332E-3</v>
      </c>
      <c r="O30" s="54">
        <f t="shared" si="9"/>
        <v>0.99500000000000022</v>
      </c>
      <c r="P30" s="54"/>
      <c r="Q30" s="54">
        <f>5/6</f>
        <v>0.83333333333333337</v>
      </c>
      <c r="R30" s="54">
        <f t="shared" si="5"/>
        <v>8.3333333333333332E-3</v>
      </c>
      <c r="S30" s="54">
        <f t="shared" si="10"/>
        <v>0.9883333333333334</v>
      </c>
    </row>
    <row r="31" spans="1:19">
      <c r="A31" s="54">
        <f t="shared" si="12"/>
        <v>0.83333333333333337</v>
      </c>
      <c r="B31" s="54">
        <f t="shared" si="1"/>
        <v>8.3333333333333332E-3</v>
      </c>
      <c r="C31" s="54">
        <f t="shared" si="6"/>
        <v>1.0000000000000002</v>
      </c>
      <c r="D31" s="54"/>
      <c r="E31" s="54">
        <f>6/8</f>
        <v>0.75</v>
      </c>
      <c r="F31" s="54">
        <f t="shared" si="2"/>
        <v>7.4999999999999997E-3</v>
      </c>
      <c r="G31" s="54">
        <f t="shared" si="7"/>
        <v>0.99999999999999978</v>
      </c>
      <c r="H31" s="54"/>
      <c r="I31" s="54">
        <f>9/6</f>
        <v>1.5</v>
      </c>
      <c r="J31" s="54">
        <f t="shared" si="3"/>
        <v>1.4999999999999999E-2</v>
      </c>
      <c r="K31" s="54">
        <f t="shared" si="8"/>
        <v>0.99999999999999978</v>
      </c>
      <c r="L31" s="54"/>
      <c r="M31" s="54">
        <v>0.5</v>
      </c>
      <c r="N31" s="54">
        <f t="shared" si="4"/>
        <v>5.0000000000000001E-3</v>
      </c>
      <c r="O31" s="54">
        <f t="shared" si="9"/>
        <v>1.0000000000000002</v>
      </c>
      <c r="P31" s="54"/>
      <c r="Q31" s="54">
        <f>7/6</f>
        <v>1.1666666666666667</v>
      </c>
      <c r="R31" s="54">
        <f t="shared" si="5"/>
        <v>1.1666666666666667E-2</v>
      </c>
      <c r="S31" s="54">
        <f t="shared" si="10"/>
        <v>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U33"/>
  <sheetViews>
    <sheetView topLeftCell="A4" workbookViewId="0">
      <selection activeCell="A2" sqref="A2:A20"/>
    </sheetView>
  </sheetViews>
  <sheetFormatPr defaultRowHeight="15"/>
  <cols>
    <col min="1" max="1" width="6" bestFit="1" customWidth="1"/>
    <col min="2" max="2" width="12.28515625" bestFit="1" customWidth="1"/>
    <col min="3" max="3" width="8.28515625" bestFit="1" customWidth="1"/>
    <col min="4" max="4" width="13.42578125" bestFit="1" customWidth="1"/>
    <col min="5" max="6" width="9.85546875" bestFit="1" customWidth="1"/>
    <col min="7" max="7" width="12.5703125" bestFit="1" customWidth="1"/>
    <col min="8" max="8" width="9.42578125" bestFit="1" customWidth="1"/>
    <col min="9" max="9" width="10" bestFit="1" customWidth="1"/>
    <col min="10" max="10" width="10.28515625" bestFit="1" customWidth="1"/>
    <col min="11" max="11" width="8.28515625" bestFit="1" customWidth="1"/>
    <col min="12" max="12" width="9.28515625" bestFit="1" customWidth="1"/>
    <col min="13" max="13" width="11.28515625" bestFit="1" customWidth="1"/>
    <col min="14" max="14" width="12.28515625" bestFit="1" customWidth="1"/>
    <col min="15" max="15" width="8.140625" bestFit="1" customWidth="1"/>
    <col min="16" max="16" width="9.7109375" bestFit="1" customWidth="1"/>
    <col min="17" max="17" width="12.5703125" bestFit="1" customWidth="1"/>
  </cols>
  <sheetData>
    <row r="1" spans="1:21">
      <c r="A1" s="58" t="s">
        <v>753</v>
      </c>
      <c r="B1" s="59" t="s">
        <v>888</v>
      </c>
      <c r="C1" s="59" t="s">
        <v>889</v>
      </c>
      <c r="D1" s="60" t="s">
        <v>890</v>
      </c>
      <c r="E1" s="61" t="s">
        <v>891</v>
      </c>
      <c r="F1" s="58" t="s">
        <v>892</v>
      </c>
      <c r="G1" s="62" t="s">
        <v>893</v>
      </c>
      <c r="H1" s="58" t="s">
        <v>894</v>
      </c>
      <c r="I1" s="58" t="s">
        <v>895</v>
      </c>
      <c r="J1" s="58" t="s">
        <v>896</v>
      </c>
      <c r="K1" s="63" t="s">
        <v>897</v>
      </c>
      <c r="L1" s="64" t="s">
        <v>898</v>
      </c>
      <c r="M1" s="58" t="s">
        <v>899</v>
      </c>
      <c r="N1" s="65" t="s">
        <v>900</v>
      </c>
      <c r="O1" s="66" t="s">
        <v>754</v>
      </c>
      <c r="P1" s="67" t="s">
        <v>901</v>
      </c>
      <c r="Q1" s="67" t="s">
        <v>902</v>
      </c>
    </row>
    <row r="2" spans="1:21">
      <c r="A2" s="70">
        <v>1</v>
      </c>
      <c r="B2" s="71">
        <v>0</v>
      </c>
      <c r="C2" s="71">
        <f>B2</f>
        <v>0</v>
      </c>
      <c r="D2" s="60">
        <f>ROUND($Q$2*B2,1)</f>
        <v>0</v>
      </c>
      <c r="E2" s="72">
        <v>11</v>
      </c>
      <c r="F2" s="73">
        <f>IF(E2&lt;11, (E2/10), IF(E2=11, 0, 1.5))</f>
        <v>0</v>
      </c>
      <c r="G2" s="62">
        <f>TRUNC((D2+F2), 0)</f>
        <v>0</v>
      </c>
      <c r="H2" s="74">
        <f>ROUNDDOWN($Q$2*C2+$O$2,0.1)</f>
        <v>35</v>
      </c>
      <c r="I2" s="74">
        <f>H2</f>
        <v>35</v>
      </c>
      <c r="J2" s="74">
        <f>I2</f>
        <v>35</v>
      </c>
      <c r="K2" s="62">
        <f>ROUNDDOWN(AVERAGE(H2,I2),0.1)</f>
        <v>35</v>
      </c>
      <c r="L2" s="75"/>
      <c r="M2" s="76"/>
      <c r="N2" s="77"/>
      <c r="O2" s="78">
        <v>35</v>
      </c>
      <c r="P2" s="79">
        <v>107</v>
      </c>
      <c r="Q2" s="80">
        <f>P2-O2</f>
        <v>72</v>
      </c>
    </row>
    <row r="3" spans="1:21">
      <c r="A3" s="58">
        <v>2</v>
      </c>
      <c r="B3" s="84">
        <v>5.3571428571428568E-2</v>
      </c>
      <c r="C3" s="85">
        <f t="shared" ref="C3:C31" si="0">(B3+C2)</f>
        <v>5.3571428571428568E-2</v>
      </c>
      <c r="D3" s="60">
        <f>ROUND($Q$2*B3,2)</f>
        <v>3.86</v>
      </c>
      <c r="E3" s="86">
        <v>11</v>
      </c>
      <c r="F3" s="73">
        <f t="shared" ref="F3:F31" si="1">IF(E3&lt;11, (E3/10), IF(E3=11, 0, 1.5))</f>
        <v>0</v>
      </c>
      <c r="G3" s="62">
        <f t="shared" ref="G3:G31" si="2">TRUNC((D3+F3), 0)</f>
        <v>3</v>
      </c>
      <c r="H3" s="87">
        <f>TRUNC(H2+D3,0)</f>
        <v>38</v>
      </c>
      <c r="I3" s="87">
        <f>TRUNC(I2+D3+1,0)</f>
        <v>39</v>
      </c>
      <c r="J3" s="87">
        <f>TRUNC(J2+D3+1.5,0)</f>
        <v>40</v>
      </c>
      <c r="K3" s="62">
        <f>TRUNC(AVERAGE(H3,I3))</f>
        <v>38</v>
      </c>
      <c r="L3" s="75">
        <f>H2+G3</f>
        <v>38</v>
      </c>
      <c r="M3" s="76">
        <f>IF(L3&lt;K3, 1, 0)</f>
        <v>0</v>
      </c>
      <c r="N3" s="77">
        <f>IF(L3&lt;K3, L3+1,L3)</f>
        <v>38</v>
      </c>
      <c r="O3" s="88"/>
      <c r="P3" s="88"/>
      <c r="Q3" s="88"/>
      <c r="U3" s="89">
        <v>1</v>
      </c>
    </row>
    <row r="4" spans="1:21">
      <c r="A4" s="58">
        <v>3</v>
      </c>
      <c r="B4" s="84">
        <v>5.3571428571428568E-2</v>
      </c>
      <c r="C4" s="85">
        <f t="shared" si="0"/>
        <v>0.10714285714285714</v>
      </c>
      <c r="D4" s="60">
        <f t="shared" ref="D4:D31" si="3">ROUND($Q$2*B4,2)</f>
        <v>3.86</v>
      </c>
      <c r="E4" s="86">
        <v>11</v>
      </c>
      <c r="F4" s="73">
        <f t="shared" si="1"/>
        <v>0</v>
      </c>
      <c r="G4" s="62">
        <f t="shared" si="2"/>
        <v>3</v>
      </c>
      <c r="H4" s="87">
        <f t="shared" ref="H4:H30" si="4">TRUNC(H3+D4,0)</f>
        <v>41</v>
      </c>
      <c r="I4" s="87">
        <f t="shared" ref="I4:I30" si="5">TRUNC(I3+D4+1,0)</f>
        <v>43</v>
      </c>
      <c r="J4" s="87">
        <f t="shared" ref="J4:J30" si="6">TRUNC(J3+D4+1.5,0)</f>
        <v>45</v>
      </c>
      <c r="K4" s="62">
        <f t="shared" ref="K4:K31" si="7">TRUNC(AVERAGE(H4,I4))</f>
        <v>42</v>
      </c>
      <c r="L4" s="75">
        <f>N3+G4</f>
        <v>41</v>
      </c>
      <c r="M4" s="76">
        <f t="shared" ref="M4:M31" si="8">IF(L4&lt;K4, 1, 0)</f>
        <v>1</v>
      </c>
      <c r="N4" s="77">
        <f t="shared" ref="N4:N31" si="9">IF(L4&lt;K4, L4+1,L4)</f>
        <v>42</v>
      </c>
      <c r="O4" s="88"/>
      <c r="P4" s="88"/>
      <c r="Q4" s="88"/>
      <c r="U4" s="89">
        <v>2</v>
      </c>
    </row>
    <row r="5" spans="1:21">
      <c r="A5" s="58">
        <v>4</v>
      </c>
      <c r="B5" s="84">
        <v>5.3571428571428568E-2</v>
      </c>
      <c r="C5" s="85">
        <f t="shared" si="0"/>
        <v>0.1607142857142857</v>
      </c>
      <c r="D5" s="60">
        <f t="shared" si="3"/>
        <v>3.86</v>
      </c>
      <c r="E5" s="86">
        <v>11</v>
      </c>
      <c r="F5" s="73">
        <f t="shared" si="1"/>
        <v>0</v>
      </c>
      <c r="G5" s="62">
        <f t="shared" si="2"/>
        <v>3</v>
      </c>
      <c r="H5" s="87">
        <f t="shared" si="4"/>
        <v>44</v>
      </c>
      <c r="I5" s="87">
        <f t="shared" si="5"/>
        <v>47</v>
      </c>
      <c r="J5" s="87">
        <f t="shared" si="6"/>
        <v>50</v>
      </c>
      <c r="K5" s="62">
        <f t="shared" si="7"/>
        <v>45</v>
      </c>
      <c r="L5" s="75">
        <f>N4+G5</f>
        <v>45</v>
      </c>
      <c r="M5" s="76">
        <f t="shared" si="8"/>
        <v>0</v>
      </c>
      <c r="N5" s="77">
        <f t="shared" si="9"/>
        <v>45</v>
      </c>
      <c r="O5" s="88"/>
      <c r="P5" s="88"/>
      <c r="Q5" s="88"/>
      <c r="U5" s="89">
        <v>3</v>
      </c>
    </row>
    <row r="6" spans="1:21">
      <c r="A6" s="58">
        <v>5</v>
      </c>
      <c r="B6" s="84">
        <v>5.3571428571428568E-2</v>
      </c>
      <c r="C6" s="85">
        <f t="shared" si="0"/>
        <v>0.21428571428571427</v>
      </c>
      <c r="D6" s="60">
        <f t="shared" si="3"/>
        <v>3.86</v>
      </c>
      <c r="E6" s="86">
        <v>11</v>
      </c>
      <c r="F6" s="73">
        <f t="shared" si="1"/>
        <v>0</v>
      </c>
      <c r="G6" s="62">
        <f t="shared" si="2"/>
        <v>3</v>
      </c>
      <c r="H6" s="87">
        <f>TRUNC(H5+D6,0)</f>
        <v>47</v>
      </c>
      <c r="I6" s="87">
        <f t="shared" si="5"/>
        <v>51</v>
      </c>
      <c r="J6" s="87">
        <f t="shared" si="6"/>
        <v>55</v>
      </c>
      <c r="K6" s="62">
        <f t="shared" si="7"/>
        <v>49</v>
      </c>
      <c r="L6" s="75">
        <f>N5+G6</f>
        <v>48</v>
      </c>
      <c r="M6" s="76">
        <f t="shared" si="8"/>
        <v>1</v>
      </c>
      <c r="N6" s="77">
        <f t="shared" si="9"/>
        <v>49</v>
      </c>
      <c r="O6" s="88"/>
      <c r="P6" s="88"/>
      <c r="Q6" s="88"/>
      <c r="U6" s="89">
        <v>4</v>
      </c>
    </row>
    <row r="7" spans="1:21">
      <c r="A7" s="58">
        <v>6</v>
      </c>
      <c r="B7" s="84">
        <v>5.3571428571428568E-2</v>
      </c>
      <c r="C7" s="85">
        <f t="shared" si="0"/>
        <v>0.26785714285714285</v>
      </c>
      <c r="D7" s="60">
        <f t="shared" si="3"/>
        <v>3.86</v>
      </c>
      <c r="E7" s="86">
        <v>11</v>
      </c>
      <c r="F7" s="73">
        <f t="shared" si="1"/>
        <v>0</v>
      </c>
      <c r="G7" s="62">
        <f t="shared" si="2"/>
        <v>3</v>
      </c>
      <c r="H7" s="87">
        <f>TRUNC(H6+D7,0)</f>
        <v>50</v>
      </c>
      <c r="I7" s="87">
        <f t="shared" si="5"/>
        <v>55</v>
      </c>
      <c r="J7" s="87">
        <f t="shared" si="6"/>
        <v>60</v>
      </c>
      <c r="K7" s="62">
        <f t="shared" si="7"/>
        <v>52</v>
      </c>
      <c r="L7" s="75">
        <f t="shared" ref="L7:L31" si="10">N6+G7</f>
        <v>52</v>
      </c>
      <c r="M7" s="76">
        <f t="shared" si="8"/>
        <v>0</v>
      </c>
      <c r="N7" s="77">
        <f>IF(L7&lt;K7, L7+1,L7)</f>
        <v>52</v>
      </c>
      <c r="O7" s="88"/>
      <c r="P7" s="88"/>
      <c r="Q7" s="88"/>
      <c r="U7" s="89">
        <v>5</v>
      </c>
    </row>
    <row r="8" spans="1:21">
      <c r="A8" s="58">
        <v>7</v>
      </c>
      <c r="B8" s="84">
        <v>5.3571428571428568E-2</v>
      </c>
      <c r="C8" s="85">
        <f t="shared" si="0"/>
        <v>0.3214285714285714</v>
      </c>
      <c r="D8" s="60">
        <f t="shared" si="3"/>
        <v>3.86</v>
      </c>
      <c r="E8" s="86">
        <v>11</v>
      </c>
      <c r="F8" s="73">
        <f t="shared" si="1"/>
        <v>0</v>
      </c>
      <c r="G8" s="62">
        <f t="shared" si="2"/>
        <v>3</v>
      </c>
      <c r="H8" s="87">
        <f t="shared" si="4"/>
        <v>53</v>
      </c>
      <c r="I8" s="87">
        <f t="shared" si="5"/>
        <v>59</v>
      </c>
      <c r="J8" s="87">
        <f t="shared" si="6"/>
        <v>65</v>
      </c>
      <c r="K8" s="62">
        <f t="shared" si="7"/>
        <v>56</v>
      </c>
      <c r="L8" s="75">
        <f t="shared" si="10"/>
        <v>55</v>
      </c>
      <c r="M8" s="76">
        <f t="shared" si="8"/>
        <v>1</v>
      </c>
      <c r="N8" s="77">
        <f t="shared" si="9"/>
        <v>56</v>
      </c>
      <c r="O8" s="88"/>
      <c r="P8" s="88"/>
      <c r="Q8" s="88"/>
      <c r="U8" s="89">
        <v>6</v>
      </c>
    </row>
    <row r="9" spans="1:21">
      <c r="A9" s="58">
        <v>8</v>
      </c>
      <c r="B9" s="84">
        <v>5.3571428571428568E-2</v>
      </c>
      <c r="C9" s="85">
        <f t="shared" si="0"/>
        <v>0.37499999999999994</v>
      </c>
      <c r="D9" s="60">
        <f t="shared" si="3"/>
        <v>3.86</v>
      </c>
      <c r="E9" s="86">
        <v>11</v>
      </c>
      <c r="F9" s="73">
        <f t="shared" si="1"/>
        <v>0</v>
      </c>
      <c r="G9" s="62">
        <f t="shared" si="2"/>
        <v>3</v>
      </c>
      <c r="H9" s="87">
        <f t="shared" si="4"/>
        <v>56</v>
      </c>
      <c r="I9" s="87">
        <f t="shared" si="5"/>
        <v>63</v>
      </c>
      <c r="J9" s="87">
        <f t="shared" si="6"/>
        <v>70</v>
      </c>
      <c r="K9" s="62">
        <f t="shared" si="7"/>
        <v>59</v>
      </c>
      <c r="L9" s="75">
        <f t="shared" si="10"/>
        <v>59</v>
      </c>
      <c r="M9" s="76">
        <f t="shared" si="8"/>
        <v>0</v>
      </c>
      <c r="N9" s="77">
        <f t="shared" si="9"/>
        <v>59</v>
      </c>
      <c r="O9" s="88"/>
      <c r="P9" s="88"/>
      <c r="Q9" s="88"/>
      <c r="U9" s="89">
        <v>7</v>
      </c>
    </row>
    <row r="10" spans="1:21">
      <c r="A10" s="58">
        <v>9</v>
      </c>
      <c r="B10" s="84">
        <v>5.3571428571428568E-2</v>
      </c>
      <c r="C10" s="85">
        <f t="shared" si="0"/>
        <v>0.42857142857142849</v>
      </c>
      <c r="D10" s="60">
        <f t="shared" si="3"/>
        <v>3.86</v>
      </c>
      <c r="E10" s="86">
        <v>11</v>
      </c>
      <c r="F10" s="73">
        <f t="shared" si="1"/>
        <v>0</v>
      </c>
      <c r="G10" s="62">
        <f t="shared" si="2"/>
        <v>3</v>
      </c>
      <c r="H10" s="87">
        <f t="shared" si="4"/>
        <v>59</v>
      </c>
      <c r="I10" s="87">
        <f t="shared" si="5"/>
        <v>67</v>
      </c>
      <c r="J10" s="87">
        <f t="shared" si="6"/>
        <v>75</v>
      </c>
      <c r="K10" s="62">
        <f t="shared" si="7"/>
        <v>63</v>
      </c>
      <c r="L10" s="75">
        <f t="shared" si="10"/>
        <v>62</v>
      </c>
      <c r="M10" s="76">
        <f t="shared" si="8"/>
        <v>1</v>
      </c>
      <c r="N10" s="77">
        <f t="shared" si="9"/>
        <v>63</v>
      </c>
      <c r="O10" s="88"/>
      <c r="P10" s="88"/>
      <c r="Q10" s="88"/>
      <c r="U10" s="89">
        <v>8</v>
      </c>
    </row>
    <row r="11" spans="1:21">
      <c r="A11" s="90">
        <v>10</v>
      </c>
      <c r="B11" s="84">
        <v>5.3571428571428568E-2</v>
      </c>
      <c r="C11" s="85">
        <f t="shared" si="0"/>
        <v>0.48214285714285704</v>
      </c>
      <c r="D11" s="60">
        <f t="shared" si="3"/>
        <v>3.86</v>
      </c>
      <c r="E11" s="86">
        <v>11</v>
      </c>
      <c r="F11" s="73">
        <f t="shared" si="1"/>
        <v>0</v>
      </c>
      <c r="G11" s="62">
        <f t="shared" si="2"/>
        <v>3</v>
      </c>
      <c r="H11" s="87">
        <f>TRUNC(H10+D11,0)</f>
        <v>62</v>
      </c>
      <c r="I11" s="87">
        <f t="shared" si="5"/>
        <v>71</v>
      </c>
      <c r="J11" s="87">
        <f t="shared" si="6"/>
        <v>80</v>
      </c>
      <c r="K11" s="62">
        <f t="shared" si="7"/>
        <v>66</v>
      </c>
      <c r="L11" s="75">
        <f t="shared" si="10"/>
        <v>66</v>
      </c>
      <c r="M11" s="76">
        <f>IF(L11&lt;K11, 1, 0)</f>
        <v>0</v>
      </c>
      <c r="N11" s="77">
        <f t="shared" si="9"/>
        <v>66</v>
      </c>
      <c r="O11" s="88"/>
      <c r="P11" s="88"/>
      <c r="Q11" s="88"/>
      <c r="U11" s="89">
        <v>9</v>
      </c>
    </row>
    <row r="12" spans="1:21">
      <c r="A12" s="90">
        <v>11</v>
      </c>
      <c r="B12" s="84">
        <v>5.3571428571428568E-2</v>
      </c>
      <c r="C12" s="85">
        <f t="shared" si="0"/>
        <v>0.53571428571428559</v>
      </c>
      <c r="D12" s="60">
        <f t="shared" si="3"/>
        <v>3.86</v>
      </c>
      <c r="E12" s="86">
        <v>11</v>
      </c>
      <c r="F12" s="73">
        <f t="shared" si="1"/>
        <v>0</v>
      </c>
      <c r="G12" s="62">
        <f t="shared" si="2"/>
        <v>3</v>
      </c>
      <c r="H12" s="87">
        <f t="shared" si="4"/>
        <v>65</v>
      </c>
      <c r="I12" s="87">
        <f t="shared" si="5"/>
        <v>75</v>
      </c>
      <c r="J12" s="87">
        <f t="shared" si="6"/>
        <v>85</v>
      </c>
      <c r="K12" s="62">
        <f t="shared" si="7"/>
        <v>70</v>
      </c>
      <c r="L12" s="75">
        <f t="shared" si="10"/>
        <v>69</v>
      </c>
      <c r="M12" s="76">
        <f t="shared" si="8"/>
        <v>1</v>
      </c>
      <c r="N12" s="77">
        <f t="shared" si="9"/>
        <v>70</v>
      </c>
      <c r="O12" s="88"/>
      <c r="P12" s="88"/>
      <c r="Q12" s="88" t="s">
        <v>903</v>
      </c>
      <c r="U12" s="89">
        <v>10</v>
      </c>
    </row>
    <row r="13" spans="1:21">
      <c r="A13" s="90">
        <v>12</v>
      </c>
      <c r="B13" s="84">
        <v>5.3571428571428568E-2</v>
      </c>
      <c r="C13" s="85">
        <f t="shared" si="0"/>
        <v>0.58928571428571419</v>
      </c>
      <c r="D13" s="60">
        <f t="shared" si="3"/>
        <v>3.86</v>
      </c>
      <c r="E13" s="86">
        <v>11</v>
      </c>
      <c r="F13" s="73">
        <f t="shared" si="1"/>
        <v>0</v>
      </c>
      <c r="G13" s="62">
        <f t="shared" si="2"/>
        <v>3</v>
      </c>
      <c r="H13" s="87">
        <f t="shared" si="4"/>
        <v>68</v>
      </c>
      <c r="I13" s="87">
        <f t="shared" si="5"/>
        <v>79</v>
      </c>
      <c r="J13" s="87">
        <f t="shared" si="6"/>
        <v>90</v>
      </c>
      <c r="K13" s="62">
        <f t="shared" si="7"/>
        <v>73</v>
      </c>
      <c r="L13" s="75">
        <f t="shared" si="10"/>
        <v>73</v>
      </c>
      <c r="M13" s="76">
        <f t="shared" si="8"/>
        <v>0</v>
      </c>
      <c r="N13" s="77">
        <f t="shared" si="9"/>
        <v>73</v>
      </c>
      <c r="O13" s="88"/>
      <c r="P13" s="88"/>
      <c r="Q13" s="88"/>
      <c r="U13" s="89">
        <v>11</v>
      </c>
    </row>
    <row r="14" spans="1:21">
      <c r="A14" s="90">
        <v>13</v>
      </c>
      <c r="B14" s="84">
        <v>5.3571428571428568E-2</v>
      </c>
      <c r="C14" s="85">
        <f t="shared" si="0"/>
        <v>0.64285714285714279</v>
      </c>
      <c r="D14" s="60">
        <f t="shared" si="3"/>
        <v>3.86</v>
      </c>
      <c r="E14" s="86">
        <v>11</v>
      </c>
      <c r="F14" s="73">
        <f t="shared" si="1"/>
        <v>0</v>
      </c>
      <c r="G14" s="62">
        <f t="shared" si="2"/>
        <v>3</v>
      </c>
      <c r="H14" s="87">
        <f t="shared" si="4"/>
        <v>71</v>
      </c>
      <c r="I14" s="87">
        <f t="shared" si="5"/>
        <v>83</v>
      </c>
      <c r="J14" s="87">
        <f t="shared" si="6"/>
        <v>95</v>
      </c>
      <c r="K14" s="62">
        <f t="shared" si="7"/>
        <v>77</v>
      </c>
      <c r="L14" s="75">
        <f t="shared" si="10"/>
        <v>76</v>
      </c>
      <c r="M14" s="76">
        <f t="shared" si="8"/>
        <v>1</v>
      </c>
      <c r="N14" s="77">
        <f t="shared" si="9"/>
        <v>77</v>
      </c>
      <c r="O14" s="88"/>
      <c r="P14" s="88"/>
      <c r="Q14" s="88"/>
      <c r="U14" s="89">
        <v>12</v>
      </c>
    </row>
    <row r="15" spans="1:21">
      <c r="A15" s="90">
        <v>14</v>
      </c>
      <c r="B15" s="84">
        <v>5.3571428571428568E-2</v>
      </c>
      <c r="C15" s="85">
        <f t="shared" si="0"/>
        <v>0.6964285714285714</v>
      </c>
      <c r="D15" s="60">
        <f t="shared" si="3"/>
        <v>3.86</v>
      </c>
      <c r="E15" s="86">
        <v>11</v>
      </c>
      <c r="F15" s="73">
        <f t="shared" si="1"/>
        <v>0</v>
      </c>
      <c r="G15" s="62">
        <f t="shared" si="2"/>
        <v>3</v>
      </c>
      <c r="H15" s="87">
        <f t="shared" si="4"/>
        <v>74</v>
      </c>
      <c r="I15" s="87">
        <f t="shared" si="5"/>
        <v>87</v>
      </c>
      <c r="J15" s="87">
        <f t="shared" si="6"/>
        <v>100</v>
      </c>
      <c r="K15" s="62">
        <f t="shared" si="7"/>
        <v>80</v>
      </c>
      <c r="L15" s="75">
        <f t="shared" si="10"/>
        <v>80</v>
      </c>
      <c r="M15" s="76">
        <f t="shared" si="8"/>
        <v>0</v>
      </c>
      <c r="N15" s="77">
        <f t="shared" si="9"/>
        <v>80</v>
      </c>
      <c r="O15" s="88"/>
      <c r="P15" s="88"/>
      <c r="Q15" s="88"/>
    </row>
    <row r="16" spans="1:21">
      <c r="A16" s="90">
        <v>15</v>
      </c>
      <c r="B16" s="84">
        <v>5.3571428571428568E-2</v>
      </c>
      <c r="C16" s="85">
        <f t="shared" si="0"/>
        <v>0.75</v>
      </c>
      <c r="D16" s="60">
        <f t="shared" si="3"/>
        <v>3.86</v>
      </c>
      <c r="E16" s="86">
        <v>11</v>
      </c>
      <c r="F16" s="73">
        <f t="shared" si="1"/>
        <v>0</v>
      </c>
      <c r="G16" s="62">
        <f t="shared" si="2"/>
        <v>3</v>
      </c>
      <c r="H16" s="87">
        <f t="shared" si="4"/>
        <v>77</v>
      </c>
      <c r="I16" s="87">
        <f t="shared" si="5"/>
        <v>91</v>
      </c>
      <c r="J16" s="87">
        <f t="shared" si="6"/>
        <v>105</v>
      </c>
      <c r="K16" s="62">
        <f t="shared" si="7"/>
        <v>84</v>
      </c>
      <c r="L16" s="75">
        <f t="shared" si="10"/>
        <v>83</v>
      </c>
      <c r="M16" s="76">
        <f t="shared" si="8"/>
        <v>1</v>
      </c>
      <c r="N16" s="77">
        <f t="shared" si="9"/>
        <v>84</v>
      </c>
      <c r="O16" s="88"/>
      <c r="P16" s="88"/>
      <c r="Q16" s="88"/>
    </row>
    <row r="17" spans="1:17">
      <c r="A17" s="90">
        <v>16</v>
      </c>
      <c r="B17" s="84">
        <v>2.2222222222222223E-2</v>
      </c>
      <c r="C17" s="85">
        <f t="shared" si="0"/>
        <v>0.77222222222222225</v>
      </c>
      <c r="D17" s="60">
        <f t="shared" si="3"/>
        <v>1.6</v>
      </c>
      <c r="E17" s="86">
        <v>11</v>
      </c>
      <c r="F17" s="73">
        <f t="shared" si="1"/>
        <v>0</v>
      </c>
      <c r="G17" s="62">
        <f t="shared" si="2"/>
        <v>1</v>
      </c>
      <c r="H17" s="87">
        <f t="shared" si="4"/>
        <v>78</v>
      </c>
      <c r="I17" s="87">
        <f t="shared" si="5"/>
        <v>93</v>
      </c>
      <c r="J17" s="87">
        <f t="shared" si="6"/>
        <v>108</v>
      </c>
      <c r="K17" s="62">
        <f t="shared" si="7"/>
        <v>85</v>
      </c>
      <c r="L17" s="75">
        <f t="shared" si="10"/>
        <v>85</v>
      </c>
      <c r="M17" s="76">
        <f t="shared" si="8"/>
        <v>0</v>
      </c>
      <c r="N17" s="77">
        <f t="shared" si="9"/>
        <v>85</v>
      </c>
      <c r="O17" s="88"/>
      <c r="P17" s="88"/>
      <c r="Q17" s="88"/>
    </row>
    <row r="18" spans="1:17">
      <c r="A18" s="70">
        <v>17</v>
      </c>
      <c r="B18" s="84">
        <v>2.2222222222222223E-2</v>
      </c>
      <c r="C18" s="85">
        <f t="shared" si="0"/>
        <v>0.79444444444444451</v>
      </c>
      <c r="D18" s="60">
        <f t="shared" si="3"/>
        <v>1.6</v>
      </c>
      <c r="E18" s="86">
        <v>11</v>
      </c>
      <c r="F18" s="73">
        <f t="shared" si="1"/>
        <v>0</v>
      </c>
      <c r="G18" s="62">
        <f t="shared" si="2"/>
        <v>1</v>
      </c>
      <c r="H18" s="87">
        <f t="shared" si="4"/>
        <v>79</v>
      </c>
      <c r="I18" s="87">
        <f t="shared" si="5"/>
        <v>95</v>
      </c>
      <c r="J18" s="87">
        <f t="shared" si="6"/>
        <v>111</v>
      </c>
      <c r="K18" s="62">
        <f t="shared" si="7"/>
        <v>87</v>
      </c>
      <c r="L18" s="75">
        <f t="shared" si="10"/>
        <v>86</v>
      </c>
      <c r="M18" s="76">
        <f t="shared" si="8"/>
        <v>1</v>
      </c>
      <c r="N18" s="77">
        <f t="shared" si="9"/>
        <v>87</v>
      </c>
      <c r="O18" s="88"/>
      <c r="P18" s="88"/>
      <c r="Q18" s="88"/>
    </row>
    <row r="19" spans="1:17">
      <c r="A19" s="70">
        <v>18</v>
      </c>
      <c r="B19" s="84">
        <v>2.2222222222222223E-2</v>
      </c>
      <c r="C19" s="85">
        <f t="shared" si="0"/>
        <v>0.81666666666666676</v>
      </c>
      <c r="D19" s="60">
        <f t="shared" si="3"/>
        <v>1.6</v>
      </c>
      <c r="E19" s="86">
        <v>11</v>
      </c>
      <c r="F19" s="73">
        <f t="shared" si="1"/>
        <v>0</v>
      </c>
      <c r="G19" s="62">
        <f t="shared" si="2"/>
        <v>1</v>
      </c>
      <c r="H19" s="87">
        <f t="shared" si="4"/>
        <v>80</v>
      </c>
      <c r="I19" s="87">
        <f t="shared" si="5"/>
        <v>97</v>
      </c>
      <c r="J19" s="87">
        <f t="shared" si="6"/>
        <v>114</v>
      </c>
      <c r="K19" s="62">
        <f t="shared" si="7"/>
        <v>88</v>
      </c>
      <c r="L19" s="75">
        <f t="shared" si="10"/>
        <v>88</v>
      </c>
      <c r="M19" s="76">
        <f t="shared" si="8"/>
        <v>0</v>
      </c>
      <c r="N19" s="77">
        <f t="shared" si="9"/>
        <v>88</v>
      </c>
      <c r="O19" s="88"/>
      <c r="P19" s="88"/>
      <c r="Q19" s="88"/>
    </row>
    <row r="20" spans="1:17">
      <c r="A20" s="70">
        <v>19</v>
      </c>
      <c r="B20" s="84">
        <v>2.2222222222222223E-2</v>
      </c>
      <c r="C20" s="85">
        <f t="shared" si="0"/>
        <v>0.83888888888888902</v>
      </c>
      <c r="D20" s="60">
        <f t="shared" si="3"/>
        <v>1.6</v>
      </c>
      <c r="E20" s="86">
        <v>11</v>
      </c>
      <c r="F20" s="73">
        <f t="shared" si="1"/>
        <v>0</v>
      </c>
      <c r="G20" s="62">
        <f t="shared" si="2"/>
        <v>1</v>
      </c>
      <c r="H20" s="87">
        <f t="shared" si="4"/>
        <v>81</v>
      </c>
      <c r="I20" s="87">
        <f t="shared" si="5"/>
        <v>99</v>
      </c>
      <c r="J20" s="87">
        <f t="shared" si="6"/>
        <v>117</v>
      </c>
      <c r="K20" s="62">
        <f t="shared" si="7"/>
        <v>90</v>
      </c>
      <c r="L20" s="75">
        <f t="shared" si="10"/>
        <v>89</v>
      </c>
      <c r="M20" s="76">
        <f t="shared" si="8"/>
        <v>1</v>
      </c>
      <c r="N20" s="77">
        <f t="shared" si="9"/>
        <v>90</v>
      </c>
      <c r="O20" s="88"/>
      <c r="P20" s="88"/>
      <c r="Q20" s="88"/>
    </row>
    <row r="21" spans="1:17">
      <c r="A21" s="70">
        <v>20</v>
      </c>
      <c r="B21" s="84">
        <v>2.2222222222222223E-2</v>
      </c>
      <c r="C21" s="85">
        <f t="shared" si="0"/>
        <v>0.86111111111111127</v>
      </c>
      <c r="D21" s="60">
        <f t="shared" si="3"/>
        <v>1.6</v>
      </c>
      <c r="E21" s="86">
        <v>11</v>
      </c>
      <c r="F21" s="73">
        <f t="shared" si="1"/>
        <v>0</v>
      </c>
      <c r="G21" s="62">
        <f t="shared" si="2"/>
        <v>1</v>
      </c>
      <c r="H21" s="87">
        <f t="shared" si="4"/>
        <v>82</v>
      </c>
      <c r="I21" s="87">
        <f t="shared" si="5"/>
        <v>101</v>
      </c>
      <c r="J21" s="87">
        <f t="shared" si="6"/>
        <v>120</v>
      </c>
      <c r="K21" s="62">
        <f t="shared" si="7"/>
        <v>91</v>
      </c>
      <c r="L21" s="75">
        <f t="shared" si="10"/>
        <v>91</v>
      </c>
      <c r="M21" s="76">
        <f t="shared" si="8"/>
        <v>0</v>
      </c>
      <c r="N21" s="77">
        <f t="shared" si="9"/>
        <v>91</v>
      </c>
      <c r="O21" s="88"/>
      <c r="P21" s="88"/>
      <c r="Q21" s="88"/>
    </row>
    <row r="22" spans="1:17">
      <c r="A22" s="70">
        <v>21</v>
      </c>
      <c r="B22" s="84">
        <v>2.2222222222222223E-2</v>
      </c>
      <c r="C22" s="85">
        <f t="shared" si="0"/>
        <v>0.88333333333333353</v>
      </c>
      <c r="D22" s="60">
        <f t="shared" si="3"/>
        <v>1.6</v>
      </c>
      <c r="E22" s="86">
        <v>11</v>
      </c>
      <c r="F22" s="73">
        <f t="shared" si="1"/>
        <v>0</v>
      </c>
      <c r="G22" s="62">
        <f t="shared" si="2"/>
        <v>1</v>
      </c>
      <c r="H22" s="87">
        <f t="shared" si="4"/>
        <v>83</v>
      </c>
      <c r="I22" s="87">
        <f t="shared" si="5"/>
        <v>103</v>
      </c>
      <c r="J22" s="87">
        <f t="shared" si="6"/>
        <v>123</v>
      </c>
      <c r="K22" s="62">
        <f t="shared" si="7"/>
        <v>93</v>
      </c>
      <c r="L22" s="75">
        <f t="shared" si="10"/>
        <v>92</v>
      </c>
      <c r="M22" s="76">
        <f t="shared" si="8"/>
        <v>1</v>
      </c>
      <c r="N22" s="77">
        <f t="shared" si="9"/>
        <v>93</v>
      </c>
      <c r="O22" s="88"/>
      <c r="P22" s="88"/>
      <c r="Q22" s="88"/>
    </row>
    <row r="23" spans="1:17">
      <c r="A23" s="58">
        <v>22</v>
      </c>
      <c r="B23" s="84">
        <v>2.2222222222222223E-2</v>
      </c>
      <c r="C23" s="85">
        <f t="shared" si="0"/>
        <v>0.90555555555555578</v>
      </c>
      <c r="D23" s="60">
        <f t="shared" si="3"/>
        <v>1.6</v>
      </c>
      <c r="E23" s="86">
        <v>11</v>
      </c>
      <c r="F23" s="73">
        <f t="shared" si="1"/>
        <v>0</v>
      </c>
      <c r="G23" s="62">
        <f t="shared" si="2"/>
        <v>1</v>
      </c>
      <c r="H23" s="87">
        <f t="shared" si="4"/>
        <v>84</v>
      </c>
      <c r="I23" s="87">
        <f t="shared" si="5"/>
        <v>105</v>
      </c>
      <c r="J23" s="87">
        <f t="shared" si="6"/>
        <v>126</v>
      </c>
      <c r="K23" s="62">
        <f t="shared" si="7"/>
        <v>94</v>
      </c>
      <c r="L23" s="75">
        <f t="shared" si="10"/>
        <v>94</v>
      </c>
      <c r="M23" s="76">
        <f t="shared" si="8"/>
        <v>0</v>
      </c>
      <c r="N23" s="77">
        <f t="shared" si="9"/>
        <v>94</v>
      </c>
      <c r="O23" s="88"/>
      <c r="P23" s="88"/>
      <c r="Q23" s="88"/>
    </row>
    <row r="24" spans="1:17">
      <c r="A24" s="58">
        <v>23</v>
      </c>
      <c r="B24" s="84">
        <v>2.2222222222222223E-2</v>
      </c>
      <c r="C24" s="85">
        <f t="shared" si="0"/>
        <v>0.92777777777777803</v>
      </c>
      <c r="D24" s="60">
        <f t="shared" si="3"/>
        <v>1.6</v>
      </c>
      <c r="E24" s="86">
        <v>11</v>
      </c>
      <c r="F24" s="73">
        <f t="shared" si="1"/>
        <v>0</v>
      </c>
      <c r="G24" s="62">
        <f t="shared" si="2"/>
        <v>1</v>
      </c>
      <c r="H24" s="87">
        <f t="shared" si="4"/>
        <v>85</v>
      </c>
      <c r="I24" s="87">
        <f t="shared" si="5"/>
        <v>107</v>
      </c>
      <c r="J24" s="87">
        <f t="shared" si="6"/>
        <v>129</v>
      </c>
      <c r="K24" s="62">
        <f t="shared" si="7"/>
        <v>96</v>
      </c>
      <c r="L24" s="75">
        <f t="shared" si="10"/>
        <v>95</v>
      </c>
      <c r="M24" s="76">
        <f t="shared" si="8"/>
        <v>1</v>
      </c>
      <c r="N24" s="77">
        <f t="shared" si="9"/>
        <v>96</v>
      </c>
      <c r="O24" s="88"/>
      <c r="P24" s="88"/>
      <c r="Q24" s="88"/>
    </row>
    <row r="25" spans="1:17">
      <c r="A25" s="58">
        <v>24</v>
      </c>
      <c r="B25" s="84">
        <v>2.2222222222222223E-2</v>
      </c>
      <c r="C25" s="85">
        <f t="shared" si="0"/>
        <v>0.95000000000000029</v>
      </c>
      <c r="D25" s="60">
        <f t="shared" si="3"/>
        <v>1.6</v>
      </c>
      <c r="E25" s="86">
        <v>11</v>
      </c>
      <c r="F25" s="73">
        <f t="shared" si="1"/>
        <v>0</v>
      </c>
      <c r="G25" s="62">
        <f t="shared" si="2"/>
        <v>1</v>
      </c>
      <c r="H25" s="87">
        <f t="shared" si="4"/>
        <v>86</v>
      </c>
      <c r="I25" s="87">
        <f t="shared" si="5"/>
        <v>109</v>
      </c>
      <c r="J25" s="87">
        <f t="shared" si="6"/>
        <v>132</v>
      </c>
      <c r="K25" s="62">
        <f t="shared" si="7"/>
        <v>97</v>
      </c>
      <c r="L25" s="75">
        <f t="shared" si="10"/>
        <v>97</v>
      </c>
      <c r="M25" s="76">
        <f t="shared" si="8"/>
        <v>0</v>
      </c>
      <c r="N25" s="77">
        <f t="shared" si="9"/>
        <v>97</v>
      </c>
      <c r="O25" s="88"/>
      <c r="P25" s="88"/>
      <c r="Q25" s="88"/>
    </row>
    <row r="26" spans="1:17">
      <c r="A26" s="58">
        <v>25</v>
      </c>
      <c r="B26" s="84">
        <v>8.3333333333333332E-3</v>
      </c>
      <c r="C26" s="85">
        <f t="shared" si="0"/>
        <v>0.95833333333333359</v>
      </c>
      <c r="D26" s="60">
        <f t="shared" si="3"/>
        <v>0.6</v>
      </c>
      <c r="E26" s="86">
        <v>11</v>
      </c>
      <c r="F26" s="73">
        <f t="shared" si="1"/>
        <v>0</v>
      </c>
      <c r="G26" s="62">
        <f t="shared" si="2"/>
        <v>0</v>
      </c>
      <c r="H26" s="87">
        <f t="shared" si="4"/>
        <v>86</v>
      </c>
      <c r="I26" s="87">
        <f t="shared" si="5"/>
        <v>110</v>
      </c>
      <c r="J26" s="87">
        <f t="shared" si="6"/>
        <v>134</v>
      </c>
      <c r="K26" s="62">
        <f t="shared" si="7"/>
        <v>98</v>
      </c>
      <c r="L26" s="75">
        <f t="shared" si="10"/>
        <v>97</v>
      </c>
      <c r="M26" s="76">
        <f t="shared" si="8"/>
        <v>1</v>
      </c>
      <c r="N26" s="77">
        <f t="shared" si="9"/>
        <v>98</v>
      </c>
      <c r="O26" s="88"/>
      <c r="P26" s="88"/>
      <c r="Q26" s="88"/>
    </row>
    <row r="27" spans="1:17">
      <c r="A27" s="58">
        <v>26</v>
      </c>
      <c r="B27" s="84">
        <v>8.3333333333333332E-3</v>
      </c>
      <c r="C27" s="85">
        <f t="shared" si="0"/>
        <v>0.9666666666666669</v>
      </c>
      <c r="D27" s="60">
        <f t="shared" si="3"/>
        <v>0.6</v>
      </c>
      <c r="E27" s="86">
        <v>11</v>
      </c>
      <c r="F27" s="73">
        <f t="shared" si="1"/>
        <v>0</v>
      </c>
      <c r="G27" s="62">
        <f t="shared" si="2"/>
        <v>0</v>
      </c>
      <c r="H27" s="87">
        <f t="shared" si="4"/>
        <v>86</v>
      </c>
      <c r="I27" s="87">
        <f t="shared" si="5"/>
        <v>111</v>
      </c>
      <c r="J27" s="87">
        <f t="shared" si="6"/>
        <v>136</v>
      </c>
      <c r="K27" s="62">
        <f t="shared" si="7"/>
        <v>98</v>
      </c>
      <c r="L27" s="75">
        <f t="shared" si="10"/>
        <v>98</v>
      </c>
      <c r="M27" s="76">
        <f t="shared" si="8"/>
        <v>0</v>
      </c>
      <c r="N27" s="77">
        <f t="shared" si="9"/>
        <v>98</v>
      </c>
      <c r="O27" s="88"/>
      <c r="P27" s="88"/>
      <c r="Q27" s="88"/>
    </row>
    <row r="28" spans="1:17">
      <c r="A28" s="58">
        <v>27</v>
      </c>
      <c r="B28" s="84">
        <v>8.3333333333333332E-3</v>
      </c>
      <c r="C28" s="85">
        <f t="shared" si="0"/>
        <v>0.9750000000000002</v>
      </c>
      <c r="D28" s="60">
        <f t="shared" si="3"/>
        <v>0.6</v>
      </c>
      <c r="E28" s="86">
        <v>11</v>
      </c>
      <c r="F28" s="73">
        <f t="shared" si="1"/>
        <v>0</v>
      </c>
      <c r="G28" s="62">
        <f t="shared" si="2"/>
        <v>0</v>
      </c>
      <c r="H28" s="87">
        <f t="shared" si="4"/>
        <v>86</v>
      </c>
      <c r="I28" s="87">
        <f t="shared" si="5"/>
        <v>112</v>
      </c>
      <c r="J28" s="87">
        <f t="shared" si="6"/>
        <v>138</v>
      </c>
      <c r="K28" s="62">
        <f t="shared" si="7"/>
        <v>99</v>
      </c>
      <c r="L28" s="75">
        <f t="shared" si="10"/>
        <v>98</v>
      </c>
      <c r="M28" s="76">
        <f t="shared" si="8"/>
        <v>1</v>
      </c>
      <c r="N28" s="77">
        <f t="shared" si="9"/>
        <v>99</v>
      </c>
      <c r="O28" s="88"/>
      <c r="P28" s="88"/>
      <c r="Q28" s="88"/>
    </row>
    <row r="29" spans="1:17">
      <c r="A29" s="58">
        <v>28</v>
      </c>
      <c r="B29" s="84">
        <v>8.3333333333333332E-3</v>
      </c>
      <c r="C29" s="85">
        <f t="shared" si="0"/>
        <v>0.9833333333333335</v>
      </c>
      <c r="D29" s="60">
        <f t="shared" si="3"/>
        <v>0.6</v>
      </c>
      <c r="E29" s="86">
        <v>11</v>
      </c>
      <c r="F29" s="73">
        <f t="shared" si="1"/>
        <v>0</v>
      </c>
      <c r="G29" s="62">
        <f t="shared" si="2"/>
        <v>0</v>
      </c>
      <c r="H29" s="87">
        <f t="shared" si="4"/>
        <v>86</v>
      </c>
      <c r="I29" s="87">
        <f t="shared" si="5"/>
        <v>113</v>
      </c>
      <c r="J29" s="87">
        <f t="shared" si="6"/>
        <v>140</v>
      </c>
      <c r="K29" s="62">
        <f t="shared" si="7"/>
        <v>99</v>
      </c>
      <c r="L29" s="75">
        <f t="shared" si="10"/>
        <v>99</v>
      </c>
      <c r="M29" s="76">
        <f t="shared" si="8"/>
        <v>0</v>
      </c>
      <c r="N29" s="77">
        <f t="shared" si="9"/>
        <v>99</v>
      </c>
      <c r="O29" s="88"/>
      <c r="P29" s="88"/>
      <c r="Q29" s="88"/>
    </row>
    <row r="30" spans="1:17">
      <c r="A30" s="58">
        <v>29</v>
      </c>
      <c r="B30" s="84">
        <v>8.3333333333333332E-3</v>
      </c>
      <c r="C30" s="85">
        <f t="shared" si="0"/>
        <v>0.99166666666666681</v>
      </c>
      <c r="D30" s="60">
        <f>ROUND($Q$2*B30,2)</f>
        <v>0.6</v>
      </c>
      <c r="E30" s="86">
        <v>11</v>
      </c>
      <c r="F30" s="73">
        <f t="shared" si="1"/>
        <v>0</v>
      </c>
      <c r="G30" s="62">
        <f t="shared" si="2"/>
        <v>0</v>
      </c>
      <c r="H30" s="87">
        <f t="shared" si="4"/>
        <v>86</v>
      </c>
      <c r="I30" s="87">
        <f t="shared" si="5"/>
        <v>114</v>
      </c>
      <c r="J30" s="87">
        <f t="shared" si="6"/>
        <v>142</v>
      </c>
      <c r="K30" s="62">
        <f t="shared" si="7"/>
        <v>100</v>
      </c>
      <c r="L30" s="75">
        <f t="shared" si="10"/>
        <v>99</v>
      </c>
      <c r="M30" s="76">
        <f t="shared" si="8"/>
        <v>1</v>
      </c>
      <c r="N30" s="77">
        <f t="shared" si="9"/>
        <v>100</v>
      </c>
      <c r="O30" s="88"/>
      <c r="P30" s="88"/>
      <c r="Q30" s="88"/>
    </row>
    <row r="31" spans="1:17">
      <c r="A31" s="90">
        <v>30</v>
      </c>
      <c r="B31" s="84">
        <v>8.3333333333333332E-3</v>
      </c>
      <c r="C31" s="85">
        <f t="shared" si="0"/>
        <v>1.0000000000000002</v>
      </c>
      <c r="D31" s="60">
        <f t="shared" si="3"/>
        <v>0.6</v>
      </c>
      <c r="E31" s="86">
        <v>11</v>
      </c>
      <c r="F31" s="73">
        <f t="shared" si="1"/>
        <v>0</v>
      </c>
      <c r="G31" s="62">
        <f t="shared" si="2"/>
        <v>0</v>
      </c>
      <c r="H31" s="87">
        <f>TRUNC(H30+D31,0)</f>
        <v>86</v>
      </c>
      <c r="I31" s="87">
        <f>TRUNC(I30+D31+1,0)</f>
        <v>115</v>
      </c>
      <c r="J31" s="87">
        <f>TRUNC(J30+D31+1.5,0)</f>
        <v>144</v>
      </c>
      <c r="K31" s="62">
        <f t="shared" si="7"/>
        <v>100</v>
      </c>
      <c r="L31" s="75">
        <f t="shared" si="10"/>
        <v>100</v>
      </c>
      <c r="M31" s="76">
        <f t="shared" si="8"/>
        <v>0</v>
      </c>
      <c r="N31" s="77">
        <f t="shared" si="9"/>
        <v>100</v>
      </c>
      <c r="O31" s="88"/>
      <c r="P31" s="88"/>
      <c r="Q31" s="88"/>
    </row>
    <row r="32" spans="1:17">
      <c r="A32" s="91"/>
      <c r="B32" s="92"/>
      <c r="C32" s="92"/>
      <c r="D32" s="93"/>
      <c r="E32" s="94"/>
      <c r="F32" s="95"/>
      <c r="G32" s="96" t="s">
        <v>907</v>
      </c>
      <c r="H32" s="95"/>
      <c r="I32" s="95"/>
      <c r="J32" s="95"/>
      <c r="K32" s="95"/>
      <c r="L32" s="95"/>
      <c r="M32" s="97" t="s">
        <v>905</v>
      </c>
      <c r="N32" s="98" t="s">
        <v>908</v>
      </c>
      <c r="O32" s="88"/>
      <c r="P32" s="88"/>
      <c r="Q32" s="88"/>
    </row>
    <row r="33" spans="1:17">
      <c r="A33" s="91"/>
      <c r="B33" s="92"/>
      <c r="C33" s="92"/>
      <c r="D33" s="93"/>
      <c r="E33" s="94"/>
      <c r="F33" s="95"/>
      <c r="G33" s="96">
        <f>SUM(G2:G31)</f>
        <v>51</v>
      </c>
      <c r="H33" s="95"/>
      <c r="I33" s="95"/>
      <c r="J33" s="95"/>
      <c r="K33" s="95"/>
      <c r="L33" s="95"/>
      <c r="M33" s="99">
        <f>SUM(M4:M31)</f>
        <v>14</v>
      </c>
      <c r="N33" s="100">
        <f>G33+M33</f>
        <v>65</v>
      </c>
      <c r="O33" s="88"/>
      <c r="P33" s="88"/>
      <c r="Q33" s="88"/>
    </row>
  </sheetData>
  <dataValidations count="1">
    <dataValidation type="list" showInputMessage="1" showErrorMessage="1" errorTitle="D12 Values only." error="Please select from the available values." promptTitle="Select D12 Value" prompt="Select the D12 result you rolled for this level up." sqref="E2:E31">
      <formula1>$U$3:$U$14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Race-Class Combos</vt:lpstr>
      <vt:lpstr>Race Bonus</vt:lpstr>
      <vt:lpstr>Class Details</vt:lpstr>
      <vt:lpstr>Class Stats</vt:lpstr>
      <vt:lpstr>Starting Force Stats</vt:lpstr>
      <vt:lpstr>Lvl 20 Curves</vt:lpstr>
      <vt:lpstr>Machine (T1)</vt:lpstr>
      <vt:lpstr>Lvl 30 Curves</vt:lpstr>
      <vt:lpstr>Machine (T2)</vt:lpstr>
      <vt:lpstr>Machine (T3)</vt:lpstr>
      <vt:lpstr>Spell Lists</vt:lpstr>
      <vt:lpstr>Weapons</vt:lpstr>
      <vt:lpstr>Extra Weapons</vt:lpstr>
      <vt:lpstr>Extra</vt:lpstr>
      <vt:lpstr>'Machine (T1)'!Die_Value</vt:lpstr>
    </vt:vector>
  </TitlesOfParts>
  <Company>Grizli777</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Keegan</dc:creator>
  <cp:lastModifiedBy>Stordarth</cp:lastModifiedBy>
  <dcterms:created xsi:type="dcterms:W3CDTF">2011-04-20T00:36:49Z</dcterms:created>
  <dcterms:modified xsi:type="dcterms:W3CDTF">2011-07-22T01:59:01Z</dcterms:modified>
</cp:coreProperties>
</file>